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xeloncorp-my.sharepoint.com/personal/e085084_exelonds_com/Documents/Desktop/PD&amp;E/ACE NJ/Reporting/PY3/"/>
    </mc:Choice>
  </mc:AlternateContent>
  <xr:revisionPtr revIDLastSave="51" documentId="8_{2ED7EA32-DD8C-40BF-ACF6-F0FB60311AD7}" xr6:coauthVersionLast="47" xr6:coauthVersionMax="47" xr10:uidLastSave="{DA9578CE-A78C-4D39-B601-B860D840D637}"/>
  <bookViews>
    <workbookView xWindow="28680" yWindow="-120" windowWidth="29040" windowHeight="15720" tabRatio="599" firstSheet="1" activeTab="1" xr2:uid="{00000000-000D-0000-FFFF-FFFF00000000}"/>
  </bookViews>
  <sheets>
    <sheet name="ACE" sheetId="48" state="hidden" r:id="rId1"/>
    <sheet name="Table 1" sheetId="35" r:id="rId2"/>
    <sheet name="Tables 2-6" sheetId="36" r:id="rId3"/>
    <sheet name="Table 7" sheetId="37" r:id="rId4"/>
    <sheet name="Table 8" sheetId="38" state="hidden" r:id="rId5"/>
    <sheet name="Table 9" sheetId="47" state="hidden" r:id="rId6"/>
    <sheet name="Ap A - Participant Def" sheetId="39" r:id="rId7"/>
    <sheet name="Ap B - Qtr Electric Master" sheetId="27" r:id="rId8"/>
    <sheet name=" Ap C - Qtr Electric LMI" sheetId="29" r:id="rId9"/>
    <sheet name=" Ap D - Qtr Electric Business" sheetId="30" r:id="rId10"/>
    <sheet name="Ap E - NJ CEA Benchmarks" sheetId="40" r:id="rId11"/>
    <sheet name="AP F - Secondary Metrics" sheetId="41" state="hidden" r:id="rId12"/>
    <sheet name="AP G - Transfer" sheetId="42" state="hidden" r:id="rId13"/>
    <sheet name="AP H - CostTest" sheetId="45" state="hidden" r:id="rId14"/>
    <sheet name="AP I - Program Changes" sheetId="44" state="hidden" r:id="rId15"/>
    <sheet name="Lookup_Sheet" sheetId="3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B" localSheetId="0">#REF!</definedName>
    <definedName name="\B">#REF!</definedName>
    <definedName name="\C" localSheetId="0">#REF!</definedName>
    <definedName name="\C">#REF!</definedName>
    <definedName name="\D" localSheetId="0">#REF!</definedName>
    <definedName name="\D">#REF!</definedName>
    <definedName name="\E" localSheetId="0">[1]JobDefinition!#REF!</definedName>
    <definedName name="\E">[1]JobDefinition!#REF!</definedName>
    <definedName name="\M" localSheetId="0">#REF!</definedName>
    <definedName name="\M">#REF!</definedName>
    <definedName name="\O">#REF!</definedName>
    <definedName name="\P">#REF!</definedName>
    <definedName name="\Q">#REF!</definedName>
    <definedName name="\R">#REF!</definedName>
    <definedName name="\S">#REF!</definedName>
    <definedName name="\U">#REF!</definedName>
    <definedName name="\V">#REF!</definedName>
    <definedName name="\W">[1]JobDefinition!#REF!</definedName>
    <definedName name="_">'[2]BUD CAP'!$P$33</definedName>
    <definedName name="_________DAT4">#REF!</definedName>
    <definedName name="_______DAT4">#REF!</definedName>
    <definedName name="____DAT4">#REF!</definedName>
    <definedName name="____New2">#REF!</definedName>
    <definedName name="____New3">#REF!</definedName>
    <definedName name="____New4">#REF!</definedName>
    <definedName name="___Key2" hidden="1">#REF!</definedName>
    <definedName name="___New2">#REF!</definedName>
    <definedName name="___New3">#REF!</definedName>
    <definedName name="___New4">#REF!</definedName>
    <definedName name="__123Graph_B" hidden="1">[3]Depreciation!#REF!</definedName>
    <definedName name="__123Graph_C" hidden="1">[3]Depreciation!#REF!</definedName>
    <definedName name="__123Graph_D" hidden="1">[3]Depreciation!#REF!</definedName>
    <definedName name="__123Graph_E" hidden="1">[3]Depreciation!#REF!</definedName>
    <definedName name="__123Graph_F" hidden="1">[3]Depreciation!#REF!</definedName>
    <definedName name="__AAL1">#REF!</definedName>
    <definedName name="__agr8690">[4]Model!$I$58</definedName>
    <definedName name="__agr8790">[4]Model!$I$59</definedName>
    <definedName name="__agr8791">[4]Model!$J$59</definedName>
    <definedName name="__agr8890">[4]Model!$I$60</definedName>
    <definedName name="__agr8891">[4]Model!$J$60</definedName>
    <definedName name="__agr8892">[4]Model!$K$60</definedName>
    <definedName name="__agr8990">[4]Model!$I$61</definedName>
    <definedName name="__agr8991">[4]Model!$J$61</definedName>
    <definedName name="__agr8992">[4]Model!$K$61</definedName>
    <definedName name="__agr8993">[4]Model!$L$61</definedName>
    <definedName name="__agr9091">[4]Model!$J$62</definedName>
    <definedName name="__agr9092">[4]Model!$K$62</definedName>
    <definedName name="__agr9093">[4]Model!$L$62</definedName>
    <definedName name="__agr9094">[4]Model!$M$62</definedName>
    <definedName name="__agr9192">[4]Model!$K$63</definedName>
    <definedName name="__agr9193">[4]Model!$L$63</definedName>
    <definedName name="__agr9194">[4]Model!$M$63</definedName>
    <definedName name="__agr9195">[4]Model!$N$63</definedName>
    <definedName name="__agr9293">[4]Model!$L$64</definedName>
    <definedName name="__agr9294">[4]Model!$M$64</definedName>
    <definedName name="__agr9295">[4]Model!$N$64</definedName>
    <definedName name="__agr9296">[4]Model!$O$64</definedName>
    <definedName name="__agr9394">[4]Model!$M$65</definedName>
    <definedName name="__agr9395">[4]Model!$N$65</definedName>
    <definedName name="__agr9396">[4]Model!$O$65</definedName>
    <definedName name="__agr9397">[4]Model!$P$65</definedName>
    <definedName name="__agr9495">[4]Model!$N$66</definedName>
    <definedName name="__agr9496">[4]Model!$O$66</definedName>
    <definedName name="__agr9497">[4]Model!$P$66</definedName>
    <definedName name="__agr9498">[4]Model!$Q$66</definedName>
    <definedName name="__agr9596">[4]Model!$O$67</definedName>
    <definedName name="__agr9597">[4]Model!$P$67</definedName>
    <definedName name="__agr9598">[4]Model!$Q$67</definedName>
    <definedName name="__agr9697">[4]Model!$P$68</definedName>
    <definedName name="__agr9698">[4]Model!$Q$68</definedName>
    <definedName name="__agr9798">[4]Model!$Q$69</definedName>
    <definedName name="__DAT4">#REF!</definedName>
    <definedName name="__FPMExcelClient_CellBasedFunctionStatus" localSheetId="10" hidden="1">"2_2_2_2_2_2"</definedName>
    <definedName name="__FPMExcelClient_Connection" localSheetId="10">"_FPM_BPCNW10_[http://sapbppd1.fenetwork.com/sap/bpc/]_[FE_REVFCST]_[VOL_APPL]_[false]_[false]\1"</definedName>
    <definedName name="__Key2" localSheetId="0" hidden="1">#REF!</definedName>
    <definedName name="__Key2" hidden="1">#REF!</definedName>
    <definedName name="__key7">[5]Sheet2!$AE$1:$AE$24</definedName>
    <definedName name="__mm1">#REF!</definedName>
    <definedName name="__mm10">#REF!</definedName>
    <definedName name="__mm11">#REF!</definedName>
    <definedName name="__mm12">#REF!</definedName>
    <definedName name="__mm13">#REF!</definedName>
    <definedName name="__mm14">#REF!</definedName>
    <definedName name="__mm15">#REF!</definedName>
    <definedName name="__mm16">#REF!</definedName>
    <definedName name="__mm17">#REF!</definedName>
    <definedName name="__mm18">#REF!</definedName>
    <definedName name="__mm19">#REF!</definedName>
    <definedName name="__mm2">#REF!</definedName>
    <definedName name="__mm3">#REF!</definedName>
    <definedName name="__mm4">#REF!</definedName>
    <definedName name="__mm5">#REF!</definedName>
    <definedName name="__mm7">#REF!</definedName>
    <definedName name="__mm8">#REF!</definedName>
    <definedName name="__mm9">#REF!</definedName>
    <definedName name="__New2">#REF!</definedName>
    <definedName name="__New3">#REF!</definedName>
    <definedName name="__New4">#REF!</definedName>
    <definedName name="__pgm5">[5]Sheet2!$AF$1:$AF$3</definedName>
    <definedName name="__qre2">'[6]IDR 15'!$A$1:$H$214</definedName>
    <definedName name="__qre84">'[4]QRE''s'!$D:$D</definedName>
    <definedName name="__qre8490">[4]Model!$I$126</definedName>
    <definedName name="__qre8491">[4]Model!$J$126</definedName>
    <definedName name="__qre8492">[4]Model!$K$126</definedName>
    <definedName name="__qre8493">[4]Model!$L$126</definedName>
    <definedName name="__qre8494">[4]Model!$M$126</definedName>
    <definedName name="__qre8495">[4]Model!$N$126</definedName>
    <definedName name="__qre8496">[4]Model!$O$126</definedName>
    <definedName name="__qre8497">[4]Model!$P$126</definedName>
    <definedName name="__qre8498">[4]Model!$Q$126</definedName>
    <definedName name="__qre85">'[4]QRE''s'!$E:$E</definedName>
    <definedName name="__qre8590">[4]Model!$I$127</definedName>
    <definedName name="__qre8591">[4]Model!$J$127</definedName>
    <definedName name="__qre8592">[4]Model!$K$127</definedName>
    <definedName name="__qre8593">[4]Model!$L$127</definedName>
    <definedName name="__qre8594">[4]Model!$M$127</definedName>
    <definedName name="__qre8595">[4]Model!$N$127</definedName>
    <definedName name="__qre8596">[4]Model!$O$127</definedName>
    <definedName name="__qre8597">[4]Model!$P$127</definedName>
    <definedName name="__qre8598">[4]Model!$Q$127</definedName>
    <definedName name="__qre86">'[4]QRE''s'!$F:$F</definedName>
    <definedName name="__qre8690">[4]Model!$I$128</definedName>
    <definedName name="__qre8691">[4]Model!$J$128</definedName>
    <definedName name="__qre8692">[4]Model!$K$128</definedName>
    <definedName name="__qre8693">[4]Model!$L$128</definedName>
    <definedName name="__qre8694">[4]Model!$M$128</definedName>
    <definedName name="__qre8695">[4]Model!$N$128</definedName>
    <definedName name="__qre8696">[4]Model!$O$128</definedName>
    <definedName name="__qre8697">[4]Model!$P$128</definedName>
    <definedName name="__qre8698">[4]Model!$Q$128</definedName>
    <definedName name="__qre87">'[4]QRE''s'!$G:$G</definedName>
    <definedName name="__qre8790">[4]Model!$I$129</definedName>
    <definedName name="__qre8791">[4]Model!$J$129</definedName>
    <definedName name="__qre8792">[4]Model!$K$129</definedName>
    <definedName name="__qre8793">[4]Model!$L$129</definedName>
    <definedName name="__qre8794">[4]Model!$M$129</definedName>
    <definedName name="__qre8795">[4]Model!$N$129</definedName>
    <definedName name="__qre8796">[4]Model!$O$129</definedName>
    <definedName name="__qre8797">[4]Model!$P$129</definedName>
    <definedName name="__qre8798">[4]Model!$Q$129</definedName>
    <definedName name="__qre88">'[4]QRE''s'!$H:$H</definedName>
    <definedName name="__qre8890">[4]Model!$I$130</definedName>
    <definedName name="__qre8891">[4]Model!$J$130</definedName>
    <definedName name="__qre8892">[4]Model!$K$130</definedName>
    <definedName name="__qre8893">[4]Model!$L$130</definedName>
    <definedName name="__qre8894">[4]Model!$M$130</definedName>
    <definedName name="__qre8895">[4]Model!$N$130</definedName>
    <definedName name="__qre8896">[4]Model!$O$130</definedName>
    <definedName name="__qre8897">[4]Model!$P$130</definedName>
    <definedName name="__qre8898">[4]Model!$Q$130</definedName>
    <definedName name="__qre89">'[4]QRE''s'!$I:$I</definedName>
    <definedName name="__qre90">'[4]QRE''s'!$J:$J</definedName>
    <definedName name="__qre91">'[4]QRE''s'!$K:$K</definedName>
    <definedName name="__qre92">'[4]QRE''s'!$L:$L</definedName>
    <definedName name="__qre93">'[4]QRE''s'!$M:$M</definedName>
    <definedName name="__qre94">'[4]QRE''s'!$N:$N</definedName>
    <definedName name="__qre95">'[4]QRE''s'!$O:$O</definedName>
    <definedName name="__qre96">'[4]QRE''s'!$P:$P</definedName>
    <definedName name="__qre97">'[4]QRE''s'!$Q:$Q</definedName>
    <definedName name="__qre98">'[4]QRE''s'!$R:$R</definedName>
    <definedName name="__reg4">[5]Sheet2!$AF$1:$AF$3</definedName>
    <definedName name="__ryr56565" localSheetId="0" hidden="1">{#N/A,#N/A,FALSE,"Monthly SAIFI";#N/A,#N/A,FALSE,"Yearly SAIFI";#N/A,#N/A,FALSE,"Monthly CAIDI";#N/A,#N/A,FALSE,"Yearly CAIDI";#N/A,#N/A,FALSE,"Monthly SAIDI";#N/A,#N/A,FALSE,"Yearly SAIDI";#N/A,#N/A,FALSE,"Monthly MAIFI";#N/A,#N/A,FALSE,"Yearly MAIFI";#N/A,#N/A,FALSE,"Monthly Cust &gt;=4 Int"}</definedName>
    <definedName name="__ryr56565" hidden="1">{#N/A,#N/A,FALSE,"Monthly SAIFI";#N/A,#N/A,FALSE,"Yearly SAIFI";#N/A,#N/A,FALSE,"Monthly CAIDI";#N/A,#N/A,FALSE,"Yearly CAIDI";#N/A,#N/A,FALSE,"Monthly SAIDI";#N/A,#N/A,FALSE,"Yearly SAIDI";#N/A,#N/A,FALSE,"Monthly MAIFI";#N/A,#N/A,FALSE,"Yearly MAIFI";#N/A,#N/A,FALSE,"Monthly Cust &gt;=4 Int"}</definedName>
    <definedName name="__tqc90">'[4]QRE''s'!$J$101</definedName>
    <definedName name="__tqc91">'[4]QRE''s'!$K$101</definedName>
    <definedName name="__tqc92">'[4]QRE''s'!$L$101</definedName>
    <definedName name="__tqc93">'[4]QRE''s'!$M$101</definedName>
    <definedName name="__tqc94">'[4]QRE''s'!$N$101</definedName>
    <definedName name="__tqc95">'[4]QRE''s'!$O$101</definedName>
    <definedName name="__tqc96">'[4]QRE''s'!$P$101</definedName>
    <definedName name="__tqc97">'[4]QRE''s'!$Q$101</definedName>
    <definedName name="__tqc98">'[4]QRE''s'!$R$101</definedName>
    <definedName name="__tql90">'[4]QRE''s'!$J$99</definedName>
    <definedName name="__tql91">'[4]QRE''s'!$K$99</definedName>
    <definedName name="__tql92">'[4]QRE''s'!$L$99</definedName>
    <definedName name="__tql93">'[4]QRE''s'!$M$99</definedName>
    <definedName name="__tql94">'[4]QRE''s'!$N$99</definedName>
    <definedName name="__tql95">'[4]QRE''s'!$O$99</definedName>
    <definedName name="__tql96">'[4]QRE''s'!$P$99</definedName>
    <definedName name="__tql97">'[4]QRE''s'!$Q$99</definedName>
    <definedName name="__tql98">'[4]QRE''s'!$R$99</definedName>
    <definedName name="__tqs90">'[4]QRE''s'!$J$100</definedName>
    <definedName name="__tqs91">'[4]QRE''s'!$K$100</definedName>
    <definedName name="__tqs92">'[4]QRE''s'!$L$100</definedName>
    <definedName name="__tqs93">'[4]QRE''s'!$M$100</definedName>
    <definedName name="__tqs94">'[4]QRE''s'!$N$100</definedName>
    <definedName name="__tqs95">'[4]QRE''s'!$O$100</definedName>
    <definedName name="__tqs96">'[4]QRE''s'!$P$100</definedName>
    <definedName name="__tqs97">'[4]QRE''s'!$Q$100</definedName>
    <definedName name="__tqs98">'[4]QRE''s'!$R$100</definedName>
    <definedName name="__zc22">#REF!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0_MWS">#REF!</definedName>
    <definedName name="_21__123Graph_DCONTRACT_BY_B_U" hidden="1">'[4]QRE Charts'!$D$278:$Q$278</definedName>
    <definedName name="_21_MWS">#REF!</definedName>
    <definedName name="_22__123Graph_DQRE_S_BY_CO." hidden="1">'[4]QRE Charts'!$D$304:$R$304</definedName>
    <definedName name="_23__123Graph_DSUPPLIES_BY_B_U" hidden="1">'[4]QRE Charts'!$D$252:$Q$252</definedName>
    <definedName name="_23_MWS">#REF!</definedName>
    <definedName name="_24__123Graph_DWAGES_BY_B_U" hidden="1">'[4]QRE Charts'!$D$226:$R$226</definedName>
    <definedName name="_24_MWS">#REF!</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5_MWS">#REF!</definedName>
    <definedName name="_36__123Graph_XSUPPLIES_BY_B_U" hidden="1">'[4]QRE Charts'!$D$222:$R$222</definedName>
    <definedName name="_37__123Graph_XTAX_CREDIT" hidden="1">'[4]QRE Charts'!$C$332:$C$342</definedName>
    <definedName name="_38_0_0_K" hidden="1">#REF!</definedName>
    <definedName name="_39_0_0_S" hidden="1">#REF!</definedName>
    <definedName name="_4__123Graph_ASENS_COMPARISON" hidden="1">'[4]QRE Charts'!$E$365:$O$365</definedName>
    <definedName name="_40_MWS">#REF!</definedName>
    <definedName name="_44_0_0_K" hidden="1">#REF!</definedName>
    <definedName name="_45_0_0_K" localSheetId="0" hidden="1">[55]Masterdata!#REF!</definedName>
    <definedName name="_45_0_0_K" hidden="1">[7]Masterdata!#REF!</definedName>
    <definedName name="_45_MWS">#REF!</definedName>
    <definedName name="_5__123Graph_ASUPPLIES_BY_B_U" hidden="1">'[4]QRE Charts'!$D$249:$Q$249</definedName>
    <definedName name="_50_MWS">#REF!</definedName>
    <definedName name="_52_0_0_S" hidden="1">#REF!</definedName>
    <definedName name="_53_0_0_S" localSheetId="0" hidden="1">[55]Masterdata!#REF!</definedName>
    <definedName name="_53_0_0_S" hidden="1">[7]Masterdata!#REF!</definedName>
    <definedName name="_55_MWS">#REF!</definedName>
    <definedName name="_6__123Graph_ATAX_CREDIT" hidden="1">'[4]QRE Charts'!$D$332:$D$342</definedName>
    <definedName name="_7__123Graph_AWAGES_BY_B_U" hidden="1">'[4]QRE Charts'!$D$223:$R$223</definedName>
    <definedName name="_8__123Graph_BCONTRACT_BY_B_U" hidden="1">'[4]QRE Charts'!$D$276:$Q$276</definedName>
    <definedName name="_84_PHASE1">[4]Comparison!$E$9:$E$165</definedName>
    <definedName name="_85_PHASE1">[4]Comparison!$I$9:$I$165</definedName>
    <definedName name="_86_PHASE1">[4]Comparison!$M$9:$M$165</definedName>
    <definedName name="_87_PHASE1">[4]Comparison!$Q$9:$Q$165</definedName>
    <definedName name="_88_PHASE1">[4]Comparison!$U$9:$U$165</definedName>
    <definedName name="_89_PHASE1">[4]Comparison!$AD$9:$AD$165</definedName>
    <definedName name="_9__123Graph_BQRE_S_BY_CO." hidden="1">'[4]QRE Charts'!$D$302:$R$302</definedName>
    <definedName name="_90_PHASE1">[4]Comparison!$AH$9:$AH$165</definedName>
    <definedName name="_91_PHASE1">[4]Comparison!$AL$9:$AL$165</definedName>
    <definedName name="_92_PHASE1">[4]Comparison!$AP$9:$AP$165</definedName>
    <definedName name="_93_PHASE1">[4]Comparison!$AT$9:$AT$165</definedName>
    <definedName name="_94_PHASE1">[4]Comparison!$AX$9:$AX$165</definedName>
    <definedName name="_95_PHASE1">[4]Comparison!$BB$9:$BB$165</definedName>
    <definedName name="_96_PHASE1">[4]Comparison!$BF$9:$BF$165</definedName>
    <definedName name="_97_PHASE1">[4]Comparison!$BJ$9:$BJ$165</definedName>
    <definedName name="_98_PHASE1">[4]Comparison!$BN$9:$BN$165</definedName>
    <definedName name="_AAL1">#REF!</definedName>
    <definedName name="_agr8690">[4]Model!$I$58</definedName>
    <definedName name="_agr8790">[4]Model!$I$59</definedName>
    <definedName name="_agr8791">[4]Model!$J$59</definedName>
    <definedName name="_agr8890">[4]Model!$I$60</definedName>
    <definedName name="_agr8891">[4]Model!$J$60</definedName>
    <definedName name="_agr8892">[4]Model!$K$60</definedName>
    <definedName name="_agr8990">[4]Model!$I$61</definedName>
    <definedName name="_agr8991">[4]Model!$J$61</definedName>
    <definedName name="_agr8992">[4]Model!$K$61</definedName>
    <definedName name="_agr8993">[4]Model!$L$61</definedName>
    <definedName name="_agr9091">[4]Model!$J$62</definedName>
    <definedName name="_agr9092">[4]Model!$K$62</definedName>
    <definedName name="_agr9093">[4]Model!$L$62</definedName>
    <definedName name="_agr9094">[4]Model!$M$62</definedName>
    <definedName name="_agr9192">[4]Model!$K$63</definedName>
    <definedName name="_agr9193">[4]Model!$L$63</definedName>
    <definedName name="_agr9194">[4]Model!$M$63</definedName>
    <definedName name="_agr9195">[4]Model!$N$63</definedName>
    <definedName name="_agr9293">[4]Model!$L$64</definedName>
    <definedName name="_agr9294">[4]Model!$M$64</definedName>
    <definedName name="_agr9295">[4]Model!$N$64</definedName>
    <definedName name="_agr9296">[4]Model!$O$64</definedName>
    <definedName name="_agr9394">[4]Model!$M$65</definedName>
    <definedName name="_agr9395">[4]Model!$N$65</definedName>
    <definedName name="_agr9396">[4]Model!$O$65</definedName>
    <definedName name="_agr9397">[4]Model!$P$65</definedName>
    <definedName name="_agr9495">[4]Model!$N$66</definedName>
    <definedName name="_agr9496">[4]Model!$O$66</definedName>
    <definedName name="_agr9497">[4]Model!$P$66</definedName>
    <definedName name="_agr9498">[4]Model!$Q$66</definedName>
    <definedName name="_agr9596">[4]Model!$O$67</definedName>
    <definedName name="_agr9597">[4]Model!$P$67</definedName>
    <definedName name="_agr9598">[4]Model!$Q$67</definedName>
    <definedName name="_agr9697">[4]Model!$P$68</definedName>
    <definedName name="_agr9698">[4]Model!$Q$68</definedName>
    <definedName name="_agr9798">[4]Model!$Q$69</definedName>
    <definedName name="_ALT_PPONU_D__Q">#REF!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Fill" hidden="1">#REF!</definedName>
    <definedName name="_Fill09" hidden="1">#REF!</definedName>
    <definedName name="_Fill2009" hidden="1">#REF!</definedName>
    <definedName name="_xlnm._FilterDatabase" localSheetId="7" hidden="1">'Ap B - Qtr Electric Master'!$A$7:$AK$7</definedName>
    <definedName name="_Key1" localSheetId="0" hidden="1">#REF!</definedName>
    <definedName name="_Key1" hidden="1">#REF!</definedName>
    <definedName name="_Key2" localSheetId="0" hidden="1">#REF!</definedName>
    <definedName name="_Key2" hidden="1">#REF!</definedName>
    <definedName name="_key7">[5]Sheet2!$AE$1:$AE$24</definedName>
    <definedName name="_mm1">#REF!</definedName>
    <definedName name="_mm10">#REF!</definedName>
    <definedName name="_mm11">#REF!</definedName>
    <definedName name="_mm12">#REF!</definedName>
    <definedName name="_mm13">#REF!</definedName>
    <definedName name="_mm14">#REF!</definedName>
    <definedName name="_mm15">#REF!</definedName>
    <definedName name="_mm16">#REF!</definedName>
    <definedName name="_mm17">#REF!</definedName>
    <definedName name="_mm18">#REF!</definedName>
    <definedName name="_mm19">#REF!</definedName>
    <definedName name="_mm2">#REF!</definedName>
    <definedName name="_mm3">#REF!</definedName>
    <definedName name="_mm4">#REF!</definedName>
    <definedName name="_mm5">#REF!</definedName>
    <definedName name="_mm7">#REF!</definedName>
    <definedName name="_mm8">#REF!</definedName>
    <definedName name="_mm9">#REF!</definedName>
    <definedName name="_New2">#REF!</definedName>
    <definedName name="_New3">#REF!</definedName>
    <definedName name="_New4">#REF!</definedName>
    <definedName name="_Order1" hidden="1">0</definedName>
    <definedName name="_Order2" hidden="1">255</definedName>
    <definedName name="_pgm5">[5]Sheet2!$AF$1:$AF$3</definedName>
    <definedName name="_qre2">'[6]IDR 15'!$A$1:$H$214</definedName>
    <definedName name="_qre84">'[4]QRE''s'!$D$1:$D$65536</definedName>
    <definedName name="_qre8490">[4]Model!$I$126</definedName>
    <definedName name="_qre8491">[4]Model!$J$126</definedName>
    <definedName name="_qre8492">[4]Model!$K$126</definedName>
    <definedName name="_qre8493">[4]Model!$L$126</definedName>
    <definedName name="_qre8494">[4]Model!$M$126</definedName>
    <definedName name="_qre8495">[4]Model!$N$126</definedName>
    <definedName name="_qre8496">[4]Model!$O$126</definedName>
    <definedName name="_qre8497">[4]Model!$P$126</definedName>
    <definedName name="_qre8498">[4]Model!$Q$126</definedName>
    <definedName name="_qre85">'[4]QRE''s'!$E$1:$E$65536</definedName>
    <definedName name="_qre8590">[4]Model!$I$127</definedName>
    <definedName name="_qre8591">[4]Model!$J$127</definedName>
    <definedName name="_qre8592">[4]Model!$K$127</definedName>
    <definedName name="_qre8593">[4]Model!$L$127</definedName>
    <definedName name="_qre8594">[4]Model!$M$127</definedName>
    <definedName name="_qre8595">[4]Model!$N$127</definedName>
    <definedName name="_qre8596">[4]Model!$O$127</definedName>
    <definedName name="_qre8597">[4]Model!$P$127</definedName>
    <definedName name="_qre8598">[4]Model!$Q$127</definedName>
    <definedName name="_qre86">'[4]QRE''s'!$F$1:$F$65536</definedName>
    <definedName name="_qre8690">[4]Model!$I$128</definedName>
    <definedName name="_qre8691">[4]Model!$J$128</definedName>
    <definedName name="_qre8692">[4]Model!$K$128</definedName>
    <definedName name="_qre8693">[4]Model!$L$128</definedName>
    <definedName name="_qre8694">[4]Model!$M$128</definedName>
    <definedName name="_qre8695">[4]Model!$N$128</definedName>
    <definedName name="_qre8696">[4]Model!$O$128</definedName>
    <definedName name="_qre8697">[4]Model!$P$128</definedName>
    <definedName name="_qre8698">[4]Model!$Q$128</definedName>
    <definedName name="_qre87">'[4]QRE''s'!$G$1:$G$65536</definedName>
    <definedName name="_qre8790">[4]Model!$I$129</definedName>
    <definedName name="_qre8791">[4]Model!$J$129</definedName>
    <definedName name="_qre8792">[4]Model!$K$129</definedName>
    <definedName name="_qre8793">[4]Model!$L$129</definedName>
    <definedName name="_qre8794">[4]Model!$M$129</definedName>
    <definedName name="_qre8795">[4]Model!$N$129</definedName>
    <definedName name="_qre8796">[4]Model!$O$129</definedName>
    <definedName name="_qre8797">[4]Model!$P$129</definedName>
    <definedName name="_qre8798">[4]Model!$Q$129</definedName>
    <definedName name="_qre88">'[4]QRE''s'!$H$1:$H$65536</definedName>
    <definedName name="_qre8890">[4]Model!$I$130</definedName>
    <definedName name="_qre8891">[4]Model!$J$130</definedName>
    <definedName name="_qre8892">[4]Model!$K$130</definedName>
    <definedName name="_qre8893">[4]Model!$L$130</definedName>
    <definedName name="_qre8894">[4]Model!$M$130</definedName>
    <definedName name="_qre8895">[4]Model!$N$130</definedName>
    <definedName name="_qre8896">[4]Model!$O$130</definedName>
    <definedName name="_qre8897">[4]Model!$P$130</definedName>
    <definedName name="_qre8898">[4]Model!$Q$130</definedName>
    <definedName name="_qre89">'[4]QRE''s'!$I$1:$I$65536</definedName>
    <definedName name="_qre90">'[4]QRE''s'!$J$1:$J$65536</definedName>
    <definedName name="_qre91">'[4]QRE''s'!$K$1:$K$65536</definedName>
    <definedName name="_qre92">'[4]QRE''s'!$L$1:$L$65536</definedName>
    <definedName name="_qre93">'[4]QRE''s'!$M$1:$M$65536</definedName>
    <definedName name="_qre94">'[4]QRE''s'!$N$1:$N$65536</definedName>
    <definedName name="_qre95">'[4]QRE''s'!$O$1:$O$65536</definedName>
    <definedName name="_qre96">'[4]QRE''s'!$P$1:$P$65536</definedName>
    <definedName name="_qre97">'[4]QRE''s'!$Q$1:$Q$65536</definedName>
    <definedName name="_qre98">'[4]QRE''s'!$R$1:$R$65536</definedName>
    <definedName name="_reg4">[5]Sheet2!$AF$1:$AF$3</definedName>
    <definedName name="_ryr56565" localSheetId="0"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ort" hidden="1">#REF!</definedName>
    <definedName name="_tqc90">'[4]QRE''s'!$J$101</definedName>
    <definedName name="_tqc91">'[4]QRE''s'!$K$101</definedName>
    <definedName name="_tqc92">'[4]QRE''s'!$L$101</definedName>
    <definedName name="_tqc93">'[4]QRE''s'!$M$101</definedName>
    <definedName name="_tqc94">'[4]QRE''s'!$N$101</definedName>
    <definedName name="_tqc95">'[4]QRE''s'!$O$101</definedName>
    <definedName name="_tqc96">'[4]QRE''s'!$P$101</definedName>
    <definedName name="_tqc97">'[4]QRE''s'!$Q$101</definedName>
    <definedName name="_tqc98">'[4]QRE''s'!$R$101</definedName>
    <definedName name="_tql90">'[4]QRE''s'!$J$99</definedName>
    <definedName name="_tql91">'[4]QRE''s'!$K$99</definedName>
    <definedName name="_tql92">'[4]QRE''s'!$L$99</definedName>
    <definedName name="_tql93">'[4]QRE''s'!$M$99</definedName>
    <definedName name="_tql94">'[4]QRE''s'!$N$99</definedName>
    <definedName name="_tql95">'[4]QRE''s'!$O$99</definedName>
    <definedName name="_tql96">'[4]QRE''s'!$P$99</definedName>
    <definedName name="_tql97">'[4]QRE''s'!$Q$99</definedName>
    <definedName name="_tql98">'[4]QRE''s'!$R$99</definedName>
    <definedName name="_tqs90">'[4]QRE''s'!$J$100</definedName>
    <definedName name="_tqs91">'[4]QRE''s'!$K$100</definedName>
    <definedName name="_tqs92">'[4]QRE''s'!$L$100</definedName>
    <definedName name="_tqs93">'[4]QRE''s'!$M$100</definedName>
    <definedName name="_tqs94">'[4]QRE''s'!$N$100</definedName>
    <definedName name="_tqs95">'[4]QRE''s'!$O$100</definedName>
    <definedName name="_tqs96">'[4]QRE''s'!$P$100</definedName>
    <definedName name="_tqs97">'[4]QRE''s'!$Q$100</definedName>
    <definedName name="_tqs98">'[4]QRE''s'!$R$100</definedName>
    <definedName name="_WORLDOX">#REF!</definedName>
    <definedName name="a" localSheetId="0"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 localSheetId="0" hidden="1">{#N/A,#N/A,FALSE,"Monthly SAIFI";#N/A,#N/A,FALSE,"Yearly SAIFI";#N/A,#N/A,FALSE,"Monthly CAIDI";#N/A,#N/A,FALSE,"Yearly CAIDI";#N/A,#N/A,FALSE,"Monthly SAIDI";#N/A,#N/A,FALSE,"Yearly SAIDI";#N/A,#N/A,FALSE,"Monthly MAIFI";#N/A,#N/A,FALSE,"Yearly MAIFI";#N/A,#N/A,FALSE,"Monthly Cust &gt;=4 Int"}</definedName>
    <definedName name="aa" hidden="1">{#N/A,#N/A,FALSE,"Monthly SAIFI";#N/A,#N/A,FALSE,"Yearly SAIFI";#N/A,#N/A,FALSE,"Monthly CAIDI";#N/A,#N/A,FALSE,"Yearly CAIDI";#N/A,#N/A,FALSE,"Monthly SAIDI";#N/A,#N/A,FALSE,"Yearly SAIDI";#N/A,#N/A,FALSE,"Monthly MAIFI";#N/A,#N/A,FALSE,"Yearly MAIFI";#N/A,#N/A,FALSE,"Monthly Cust &gt;=4 Int"}</definedName>
    <definedName name="AAL">#REF!</definedName>
    <definedName name="AALDR">#REF!</definedName>
    <definedName name="AALSAP">#REF!</definedName>
    <definedName name="aashitii">'[8]2005 CapEx (By VP By Dept) Budg'!$A$3:$P$431</definedName>
    <definedName name="ac" localSheetId="0"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CTG_SERV">#REF!</definedName>
    <definedName name="ACTUAL_YTD">[9]Administrator!$L$60</definedName>
    <definedName name="acx" localSheetId="0"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fsadfds" localSheetId="0"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IP" localSheetId="0"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ircgrtm1">[4]AIRC!#REF!</definedName>
    <definedName name="aircgrtm2">[4]AIRC!#REF!</definedName>
    <definedName name="aircgrtm3">[4]AIRC!#REF!</definedName>
    <definedName name="aircgrtm4">[4]AIRC!#REF!</definedName>
    <definedName name="aircqre">[4]AIRC!$C$15</definedName>
    <definedName name="aircqrelabel">[4]AIRC!$B$15</definedName>
    <definedName name="airctitle">[4]AIRC!$A$1</definedName>
    <definedName name="airctm1">[4]AIRC!#REF!</definedName>
    <definedName name="airctm2">[4]AIRC!#REF!</definedName>
    <definedName name="airctm3">[4]AIRC!#REF!</definedName>
    <definedName name="airctm4">[4]AIRC!#REF!</definedName>
    <definedName name="ALERT1" localSheetId="0">#REF!</definedName>
    <definedName name="ALERT1">#REF!</definedName>
    <definedName name="ALERT2" localSheetId="0">#REF!</definedName>
    <definedName name="ALERT2">#REF!</definedName>
    <definedName name="ALERT3" localSheetId="0">#REF!</definedName>
    <definedName name="ALERT3">#REF!</definedName>
    <definedName name="ALL_QRES">[4]Sens_QRE_Factor!$D$8:$R$98</definedName>
    <definedName name="ALL_QRES0.75">'[4]QRE Charts'!$E$365</definedName>
    <definedName name="ALL_QRES0.80">'[4]QRE Charts'!$F$365</definedName>
    <definedName name="ALL_QRES0.85">'[4]QRE Charts'!$G$365</definedName>
    <definedName name="ALL_QRES0.90">'[4]QRE Charts'!$H$365</definedName>
    <definedName name="ALL_QRES0.95">'[4]QRE Charts'!$I$365</definedName>
    <definedName name="ALL_QRES1.00">'[4]QRE Charts'!$J$365</definedName>
    <definedName name="ALL_QRES1.05">'[4]QRE Charts'!$K$365</definedName>
    <definedName name="ALL_QRES1.10">'[4]QRE Charts'!$L$365</definedName>
    <definedName name="ALL_QRES1.15">'[4]QRE Charts'!$M$365</definedName>
    <definedName name="ALL_QRES1.20">'[4]QRE Charts'!$N$365</definedName>
    <definedName name="ALL_QRES1.25">'[4]QRE Charts'!$O$365</definedName>
    <definedName name="ALL_SENS_FACT">#REF!</definedName>
    <definedName name="ALLYRS_MESSAGE">#REF!</definedName>
    <definedName name="alsdfa" localSheetId="0"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ish">#REF!</definedName>
    <definedName name="anish21212">#REF!</definedName>
    <definedName name="anisha2157">'[8]2005 CapEx (By VP By Dept) Budg'!$A$3:$P$431</definedName>
    <definedName name="anisha216">'[8]2005 CapEx (By VP By Dept) Budg'!$A$3:$P$431</definedName>
    <definedName name="anishhh">'[8]2005 CapEx (By VP By Dept) Budg'!$A$3:$P$431</definedName>
    <definedName name="anishilov">'[8]2005 CapEx (By VP By Dept) Budg'!$A$3:$P$431</definedName>
    <definedName name="anscount" hidden="1">1</definedName>
    <definedName name="APA">'[10]PECO Bal Sht'!#REF!</definedName>
    <definedName name="Apr" localSheetId="0">#REF!</definedName>
    <definedName name="Apr">#REF!</definedName>
    <definedName name="apr2pre" localSheetId="0">#REF!</definedName>
    <definedName name="apr2pre">#REF!</definedName>
    <definedName name="April" localSheetId="0">#REF!</definedName>
    <definedName name="April">#REF!</definedName>
    <definedName name="APV">#REF!</definedName>
    <definedName name="Area">'[11]all EED O&amp;M BO data'!$W$2:$W$5000</definedName>
    <definedName name="as">'[8]2005 CapEx (By VP By Dept) Budg'!$A$3:$P$395</definedName>
    <definedName name="AS2DocOpenMode" hidden="1">"AS2DocumentEdit"</definedName>
    <definedName name="asasasas">'[8]2005 CapEx (By VP By Dept) Budg'!$A$3:$P$431</definedName>
    <definedName name="ASD">'[10]PECO Bal Sht'!#REF!</definedName>
    <definedName name="asdada" localSheetId="0">#REF!</definedName>
    <definedName name="asdada">#REF!</definedName>
    <definedName name="asdasd">'[8]2005 CapEx (By VP By Dept) Budg'!$A$3:$P$431</definedName>
    <definedName name="asdasda" localSheetId="0">#REF!</definedName>
    <definedName name="asdasda">#REF!</definedName>
    <definedName name="asdf" localSheetId="0"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0"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#REF!</definedName>
    <definedName name="asdfsd">#REF!</definedName>
    <definedName name="asdfsdf">'[8]2005 CapEx (By VP By Dept) Budg'!$A$3:$P$431</definedName>
    <definedName name="asdfsdfsadfs">'[8]2005 CapEx (By VP By Dept) Budg'!$A$3:$P$431</definedName>
    <definedName name="asfas" localSheetId="0">#REF!</definedName>
    <definedName name="asfas">#REF!</definedName>
    <definedName name="asfasdfasfasfsadf" localSheetId="0">#REF!</definedName>
    <definedName name="asfasdfasfasfsadf">#REF!</definedName>
    <definedName name="asfsdfsdfsdfsfwer" localSheetId="0">#REF!</definedName>
    <definedName name="asfsdfsdfsdfsfwer">#REF!</definedName>
    <definedName name="asfsdfsfs">#REF!</definedName>
    <definedName name="asfsft">#REF!</definedName>
    <definedName name="asgdfsjgfdk1">'[8]2005 CapEx (By VP By Dept) Budg'!$A$3:$P$431</definedName>
    <definedName name="ashaita" localSheetId="0"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hhhjjjjjj">'[8]2005 CapEx (By VP By Dept) Budg'!$A$3:$P$431</definedName>
    <definedName name="ashi21">'[8]2005 CapEx (By VP By Dept) Budg'!$A$3:$P$431</definedName>
    <definedName name="ashia" localSheetId="0">#REF!</definedName>
    <definedName name="ashia">#REF!</definedName>
    <definedName name="ashita" localSheetId="0">#REF!</definedName>
    <definedName name="ashita">#REF!</definedName>
    <definedName name="ashita216">'[8]2005 CapEx (By VP By Dept) Budg'!$A$3:$P$431</definedName>
    <definedName name="AsOfDt">'[12]#REF'!$B$2</definedName>
    <definedName name="asrada" localSheetId="0">#REF!</definedName>
    <definedName name="asrada">#REF!</definedName>
    <definedName name="assd" localSheetId="0"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t_Management">#REF!</definedName>
    <definedName name="Asset_Management_">#REF!</definedName>
    <definedName name="Aug">#REF!</definedName>
    <definedName name="AugNEW">#REF!</definedName>
    <definedName name="August">#REF!</definedName>
    <definedName name="b" localSheetId="0"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_u_10">'[4]QRE''s'!$A$39:$IV$94</definedName>
    <definedName name="b_u_11">'[4]QRE''s'!$A$43:$IV$94</definedName>
    <definedName name="b_u_12">'[4]QRE''s'!$A$47:$IV$94</definedName>
    <definedName name="b_u_13">'[4]QRE''s'!$A$51:$IV$94</definedName>
    <definedName name="b_u_14">'[4]QRE''s'!$A$55:$IV$94</definedName>
    <definedName name="b_u_15">'[4]QRE''s'!$A$59:$IV$94</definedName>
    <definedName name="b_u_16">'[4]QRE''s'!$A$63:$IV$94</definedName>
    <definedName name="b_u_17">'[4]QRE''s'!$A$67:$IV$94</definedName>
    <definedName name="b_u_18">'[4]QRE''s'!$A$71:$IV$94</definedName>
    <definedName name="b_u_19">'[4]QRE''s'!$A$75:$IV$94</definedName>
    <definedName name="b_u_2">'[4]QRE''s'!$A$11:$IV$94</definedName>
    <definedName name="b_u_20">'[4]QRE''s'!$A$79:$IV$94</definedName>
    <definedName name="b_u_21">'[4]QRE''s'!$A$83:$IV$94</definedName>
    <definedName name="b_u_22">'[4]QRE''s'!$A$87:$IV$94</definedName>
    <definedName name="b_u_23">'[4]QRE''s'!$A$91:$IV$94</definedName>
    <definedName name="b_u_3">'[4]QRE''s'!$A$11:$IV$94</definedName>
    <definedName name="b_u_4">'[4]QRE''s'!$A$15:$IV$94</definedName>
    <definedName name="b_u_5">'[4]QRE''s'!$A$19:$IV$94</definedName>
    <definedName name="b_u_6">'[4]QRE''s'!$A$23:$IV$94</definedName>
    <definedName name="b_u_7">'[4]QRE''s'!$A$27:$IV$94</definedName>
    <definedName name="b_u_8">'[4]QRE''s'!$A$31:$IV$94</definedName>
    <definedName name="b_u_9">'[4]QRE''s'!$A$35:$IV$94</definedName>
    <definedName name="Balance_Sheet">#REF!</definedName>
    <definedName name="Balance_Sheet_Date">[13]Update!$B$3</definedName>
    <definedName name="Balance_Sheet_Heading">[13]Update!$B$4</definedName>
    <definedName name="bankidrange">[14]Control!$AI$5:$AI$1012</definedName>
    <definedName name="Base" localSheetId="0">#REF!</definedName>
    <definedName name="Base">#REF!</definedName>
    <definedName name="BASE_DETAIL_QRE">[4]Sens_QRE_Factor!$D$8:$H$98</definedName>
    <definedName name="BASE_MESSAGE" localSheetId="0">#REF!</definedName>
    <definedName name="BASE_MESSAGE">#REF!</definedName>
    <definedName name="BASE_QRES">[4]Sens_QRE_Factor!$D$8:$H$98</definedName>
    <definedName name="BASE_QRES0.75">'[4]QRE Charts'!$E$366</definedName>
    <definedName name="BASE_QRES0.80">'[4]QRE Charts'!$F$366</definedName>
    <definedName name="BASE_QRES0.85">'[4]QRE Charts'!$G$366</definedName>
    <definedName name="BASE_QRES0.90">'[4]QRE Charts'!$H$366</definedName>
    <definedName name="BASE_QRES0.95">'[4]QRE Charts'!$I$366</definedName>
    <definedName name="BASE_QRES1.00">'[4]QRE Charts'!$J$366</definedName>
    <definedName name="BASE_QRES1.05">'[4]QRE Charts'!$K$366</definedName>
    <definedName name="BASE_QRES1.10">'[4]QRE Charts'!$L$366</definedName>
    <definedName name="BASE_QRES1.15">'[4]QRE Charts'!$M$366</definedName>
    <definedName name="BASE_QRES1.20">'[4]QRE Charts'!$N$366</definedName>
    <definedName name="BASE_QRES1.25">'[4]QRE Charts'!$O$366</definedName>
    <definedName name="BASE_SENS_FACT">#REF!</definedName>
    <definedName name="Baseline">'[15]Valid Table Values'!#REF!</definedName>
    <definedName name="bcbcvb">'[8]2005 CapEx (By VP By Dept) Budg'!$A$3:$P$431</definedName>
    <definedName name="beny" localSheetId="0"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GS_Auction_Cost">[16]Assumptions!#REF!</definedName>
    <definedName name="BGS_Forecast">[17]Assumptions!#REF!</definedName>
    <definedName name="BGS_Rate" localSheetId="0">#REF!</definedName>
    <definedName name="BGS_Rate">#REF!</definedName>
    <definedName name="Bi10LTIP_Table">'[18]98LTIP6b-10b'!$A$7:$D$17</definedName>
    <definedName name="BILLED_KWHs" localSheetId="0">#REF!</definedName>
    <definedName name="BILLED_KWHs">#REF!</definedName>
    <definedName name="BILLED_KWHsNEW" localSheetId="0">#REF!</definedName>
    <definedName name="BILLED_KWHsNEW">#REF!</definedName>
    <definedName name="Black_Box">[19]Assumptions!$E$41</definedName>
    <definedName name="BLE_Close_Date">[16]Assumptions!$E$16</definedName>
    <definedName name="BLE_Resid">[20]Assumptions!$E$20</definedName>
    <definedName name="BLE_Strand">'[16]TBC Rate Summary'!$B$32:$H$214</definedName>
    <definedName name="BLEwd">[16]Assumptions!$E$19</definedName>
    <definedName name="bpgr84">[4]Print!$C$48</definedName>
    <definedName name="bpgr85">[4]Print!$E$48</definedName>
    <definedName name="bpgr86">[4]Print!$G$48</definedName>
    <definedName name="bpgr87">[4]Print!$I$48</definedName>
    <definedName name="bpgr88">[4]Print!$K$48</definedName>
    <definedName name="bpqre84">[4]Print!$C$41</definedName>
    <definedName name="bpqre85">[4]Print!$E$41</definedName>
    <definedName name="bpqre86">[4]Print!$G$41</definedName>
    <definedName name="bpqre87">[4]Print!$I$41</definedName>
    <definedName name="bpqre88">[4]Print!$K$41</definedName>
    <definedName name="BPU_Assessment">[16]Assumptions!$E$37</definedName>
    <definedName name="Brett041">'[8]2005 CapEx (By VP By Dept) Budg'!$A$3:$P$431</definedName>
    <definedName name="Brett0415">'[8]2005 CapEx (By VP By Dept) Budg'!$A$3:$P$431</definedName>
    <definedName name="Brett0416" localSheetId="0">#REF!</definedName>
    <definedName name="Brett0416">#REF!</definedName>
    <definedName name="Brett042" localSheetId="0">#REF!</definedName>
    <definedName name="Brett042">#REF!</definedName>
    <definedName name="brett0420">'[8]2005 CapEx (By VP By Dept) Budg'!$A$3:$P$431</definedName>
    <definedName name="brett0421" localSheetId="0">#REF!</definedName>
    <definedName name="brett0421">#REF!</definedName>
    <definedName name="Brett0422">'[8]2005 CapEx (By VP By Dept) Budg'!$A$3:$P$431</definedName>
    <definedName name="Brett0423" localSheetId="0">#REF!</definedName>
    <definedName name="Brett0423">#REF!</definedName>
    <definedName name="Brett0601">'[8]2005 CapEx (By VP By Dept) Budg'!$A$3:$P$431</definedName>
    <definedName name="Brett0602" localSheetId="0">#REF!</definedName>
    <definedName name="Brett0602">#REF!</definedName>
    <definedName name="Brett403">'[8]2005 CapEx (By VP By Dept) Budg'!$A$3:$P$431</definedName>
    <definedName name="Brett404" localSheetId="0">#REF!</definedName>
    <definedName name="Brett404">#REF!</definedName>
    <definedName name="Brett406">'[8]2005 CapEx (By VP By Dept) Budg'!$A$3:$P$431</definedName>
    <definedName name="Brett407" localSheetId="0">#REF!</definedName>
    <definedName name="Brett407">#REF!</definedName>
    <definedName name="Brett408">'[8]2005 CapEx (By VP By Dept) Budg'!$A$3:$P$431</definedName>
    <definedName name="Brett409" localSheetId="0">#REF!</definedName>
    <definedName name="Brett409">#REF!</definedName>
    <definedName name="Brett410">'[8]2005 CapEx (By VP By Dept) Budg'!$A$3:$P$431</definedName>
    <definedName name="Brett411" localSheetId="0">#REF!</definedName>
    <definedName name="Brett411">#REF!</definedName>
    <definedName name="Brett418">'[8]2005 CapEx (By VP By Dept) Budg'!$A$3:$P$431</definedName>
    <definedName name="Brett419" localSheetId="0">#REF!</definedName>
    <definedName name="Brett419">#REF!</definedName>
    <definedName name="BSYEAREND">[21]SETUP!$C$21</definedName>
    <definedName name="bu10total84">[4]B_U_10!$C$95</definedName>
    <definedName name="bu10total84a">[4]B_U_10!$C$103</definedName>
    <definedName name="bu10total85">[4]B_U_10!$D$95</definedName>
    <definedName name="bu10total85a">[4]B_U_10!$D$103</definedName>
    <definedName name="bu10total86">[4]B_U_10!$E$95</definedName>
    <definedName name="bu10total86a">[4]B_U_10!$E$103</definedName>
    <definedName name="bu10total87">[4]B_U_10!$F$95</definedName>
    <definedName name="bu10total87a">[4]B_U_10!$F$103</definedName>
    <definedName name="bu10total88">[4]B_U_10!$G$95</definedName>
    <definedName name="bu10total88a">[4]B_U_10!$G$103</definedName>
    <definedName name="bu10total89">[4]B_U_10!$H$95</definedName>
    <definedName name="bu10total89a">[4]B_U_10!$H$103</definedName>
    <definedName name="bu10total90">[4]B_U_10!$I$95</definedName>
    <definedName name="bu10total90a">[4]B_U_10!$I$103</definedName>
    <definedName name="bu10total91">[4]B_U_10!$J$95</definedName>
    <definedName name="bu10total91a">[4]B_U_10!$J$103</definedName>
    <definedName name="bu10total92">[4]B_U_10!$K$95</definedName>
    <definedName name="bu10total92a">[4]B_U_10!$K$103</definedName>
    <definedName name="bu10total93">[4]B_U_10!$L$95</definedName>
    <definedName name="bu10total93a">[4]B_U_10!$L$103</definedName>
    <definedName name="bu10total94">[4]B_U_10!$M$95</definedName>
    <definedName name="bu10total94a">[4]B_U_10!$M$103</definedName>
    <definedName name="bu10total95">[4]B_U_10!$N$95</definedName>
    <definedName name="bu10total95a">[4]B_U_10!$N$103</definedName>
    <definedName name="bu10total96">[4]B_U_10!$O$95</definedName>
    <definedName name="bu10total96a">[4]B_U_10!$O$103</definedName>
    <definedName name="bu10total97">[4]B_U_10!$P$95</definedName>
    <definedName name="bu10total97a">[4]B_U_10!$P$103</definedName>
    <definedName name="bu10total98">[4]B_U_10!$Q$95</definedName>
    <definedName name="bu10total98a">[4]B_U_10!$Q$103</definedName>
    <definedName name="bu11total84">[4]B_U_11!$C$95</definedName>
    <definedName name="bu11total84a">[4]B_U_11!$C$103</definedName>
    <definedName name="bu11total85">[4]B_U_11!$D$95</definedName>
    <definedName name="bu11total85a">[4]B_U_11!$D$103</definedName>
    <definedName name="bu11total86">[4]B_U_11!$E$95</definedName>
    <definedName name="bu11total86a">[4]B_U_11!$E$103</definedName>
    <definedName name="bu11total87">[4]B_U_11!$F$95</definedName>
    <definedName name="bu11total87a">[4]B_U_11!$F$103</definedName>
    <definedName name="bu11total88">[4]B_U_11!$G$95</definedName>
    <definedName name="bu11total88a">[4]B_U_11!$G$103</definedName>
    <definedName name="bu11total89">[4]B_U_11!$H$95</definedName>
    <definedName name="bu11total89a">[4]B_U_11!$H$103</definedName>
    <definedName name="bu11total90">[4]B_U_11!$I$95</definedName>
    <definedName name="bu11total90a">[4]B_U_11!$I$103</definedName>
    <definedName name="bu11total91">[4]B_U_11!$J$95</definedName>
    <definedName name="bu11total91a">[4]B_U_11!$J$103</definedName>
    <definedName name="bu11total92">[4]B_U_11!$K$95</definedName>
    <definedName name="bu11total92a">[4]B_U_11!$K$103</definedName>
    <definedName name="bu11total93">[4]B_U_11!$L$95</definedName>
    <definedName name="bu11total93a">[4]B_U_11!$L$103</definedName>
    <definedName name="bu11total94">[4]B_U_11!$M$95</definedName>
    <definedName name="bu11total94a">[4]B_U_11!$M$103</definedName>
    <definedName name="bu11total95">[4]B_U_11!$N$95</definedName>
    <definedName name="bu11total95a">[4]B_U_11!$N$103</definedName>
    <definedName name="bu11total96">[4]B_U_11!$O$95</definedName>
    <definedName name="bu11total96a">[4]B_U_11!$O$103</definedName>
    <definedName name="bu11total97">[4]B_U_11!$P$95</definedName>
    <definedName name="bu11total97a">[4]B_U_11!$P$103</definedName>
    <definedName name="bu11total98">[4]B_U_11!$Q$95</definedName>
    <definedName name="bu11total98a">[4]B_U_11!$Q$103</definedName>
    <definedName name="bu12total84">[4]B_U_12!$C$95</definedName>
    <definedName name="bu12total84a">[4]B_U_12!$C$103</definedName>
    <definedName name="bu12total85">[4]B_U_12!$D$95</definedName>
    <definedName name="bu12total85a">[4]B_U_12!$D$103</definedName>
    <definedName name="bu12total86">[4]B_U_12!$E$95</definedName>
    <definedName name="bu12total86a">[4]B_U_12!$E$103</definedName>
    <definedName name="bu12total87">[4]B_U_12!$F$95</definedName>
    <definedName name="bu12total87a">[4]B_U_12!$F$103</definedName>
    <definedName name="bu12total88">[4]B_U_12!$G$95</definedName>
    <definedName name="bu12total88a">[4]B_U_12!$G$103</definedName>
    <definedName name="bu12total89">[4]B_U_12!$H$95</definedName>
    <definedName name="bu12total89a">[4]B_U_12!$H$103</definedName>
    <definedName name="bu12total90">[4]B_U_12!$I$95</definedName>
    <definedName name="bu12total90a">[4]B_U_12!$I$103</definedName>
    <definedName name="bu12total91">[4]B_U_12!$J$95</definedName>
    <definedName name="bu12total91a">[4]B_U_12!$J$103</definedName>
    <definedName name="bu12total92">[4]B_U_12!$K$95</definedName>
    <definedName name="bu12total92a">[4]B_U_12!$K$103</definedName>
    <definedName name="bu12total93">[4]B_U_12!$L$95</definedName>
    <definedName name="bu12total93a">[4]B_U_12!$L$103</definedName>
    <definedName name="bu12total94">[4]B_U_12!$M$95</definedName>
    <definedName name="bu12total94a">[4]B_U_12!$M$103</definedName>
    <definedName name="bu12total95">[4]B_U_12!$N$95</definedName>
    <definedName name="bu12total95a">[4]B_U_12!$N$103</definedName>
    <definedName name="bu12total96">[4]B_U_12!$O$95</definedName>
    <definedName name="bu12total96a">[4]B_U_12!$O$103</definedName>
    <definedName name="bu12total97">[4]B_U_12!$P$95</definedName>
    <definedName name="bu12total97a">[4]B_U_12!$P$103</definedName>
    <definedName name="bu12total98">[4]B_U_12!$Q$95</definedName>
    <definedName name="bu12total98a">[4]B_U_12!$Q$103</definedName>
    <definedName name="bu13total84">[4]B_U_13!$C$95</definedName>
    <definedName name="bu13total84a">[4]B_U_13!$C$103</definedName>
    <definedName name="bu13total85">[4]B_U_13!$D$95</definedName>
    <definedName name="bu13total85a">[4]B_U_13!$D$103</definedName>
    <definedName name="bu13total86">[4]B_U_13!$E$95</definedName>
    <definedName name="bu13total86a">[4]B_U_13!$E$103</definedName>
    <definedName name="bu13total87">[4]B_U_13!$F$95</definedName>
    <definedName name="bu13total87a">[4]B_U_13!$F$103</definedName>
    <definedName name="bu13total88">[4]B_U_13!$G$95</definedName>
    <definedName name="bu13total88a">[4]B_U_13!$G$103</definedName>
    <definedName name="bu13total89">[4]B_U_13!$H$95</definedName>
    <definedName name="bu13total89a">[4]B_U_13!$H$103</definedName>
    <definedName name="bu13total90">[4]B_U_13!$I$95</definedName>
    <definedName name="bu13total90a">[4]B_U_13!$I$103</definedName>
    <definedName name="bu13total91">[4]B_U_13!$J$95</definedName>
    <definedName name="bu13total91a">[4]B_U_13!$J$103</definedName>
    <definedName name="bu13total92">[4]B_U_13!$K$95</definedName>
    <definedName name="bu13total92a">[4]B_U_13!$K$103</definedName>
    <definedName name="bu13total93">[4]B_U_13!$L$95</definedName>
    <definedName name="bu13total93a">[4]B_U_13!$L$103</definedName>
    <definedName name="bu13total94">[4]B_U_13!$M$95</definedName>
    <definedName name="bu13total94a">[4]B_U_13!$M$103</definedName>
    <definedName name="bu13total95">[4]B_U_13!$N$95</definedName>
    <definedName name="bu13total95a">[4]B_U_13!$N$103</definedName>
    <definedName name="bu13total96">[4]B_U_13!$O$95</definedName>
    <definedName name="bu13total96a">[4]B_U_13!$O$103</definedName>
    <definedName name="bu13total97">[4]B_U_13!$P$95</definedName>
    <definedName name="bu13total97a">[4]B_U_13!$P$103</definedName>
    <definedName name="bu13total98">[4]B_U_13!$Q$95</definedName>
    <definedName name="bu13total98a">[4]B_U_13!$Q$103</definedName>
    <definedName name="bu14total84">[4]B_U_14!$C$95</definedName>
    <definedName name="bu14total84a">[4]B_U_14!$C$103</definedName>
    <definedName name="bu14total85">[4]B_U_14!$D$95</definedName>
    <definedName name="bu14total85a">[4]B_U_14!$D$103</definedName>
    <definedName name="bu14total86">[4]B_U_14!$E$95</definedName>
    <definedName name="bu14total86a">[4]B_U_14!$E$103</definedName>
    <definedName name="bu14total87">[4]B_U_14!$F$95</definedName>
    <definedName name="bu14total87a">[4]B_U_14!$F$103</definedName>
    <definedName name="bu14total88">[4]B_U_14!$G$95</definedName>
    <definedName name="bu14total88a">[4]B_U_14!$G$103</definedName>
    <definedName name="bu14total89">[4]B_U_14!$H$95</definedName>
    <definedName name="bu14total89a">[4]B_U_14!$H$103</definedName>
    <definedName name="bu14total90">[4]B_U_14!$I$95</definedName>
    <definedName name="bu14total90a">[4]B_U_14!$I$103</definedName>
    <definedName name="bu14total91">[4]B_U_14!$J$95</definedName>
    <definedName name="bu14total91a">[4]B_U_14!$J$103</definedName>
    <definedName name="bu14total92">[4]B_U_14!$K$95</definedName>
    <definedName name="bu14total92a">[4]B_U_14!$K$103</definedName>
    <definedName name="bu14total93">[4]B_U_14!$L$95</definedName>
    <definedName name="bu14total93a">[4]B_U_14!$L$103</definedName>
    <definedName name="bu14total94">[4]B_U_14!$M$95</definedName>
    <definedName name="bu14total94a">[4]B_U_14!$M$103</definedName>
    <definedName name="bu14total95">[4]B_U_14!$N$95</definedName>
    <definedName name="bu14total95a">[4]B_U_14!$N$103</definedName>
    <definedName name="bu14total96">[4]B_U_14!$O$95</definedName>
    <definedName name="bu14total96a">[4]B_U_14!$O$103</definedName>
    <definedName name="bu14total97">[4]B_U_14!$P$95</definedName>
    <definedName name="bu14total97a">[4]B_U_14!$P$103</definedName>
    <definedName name="bu14total98">[4]B_U_14!$Q$95</definedName>
    <definedName name="bu14total98a">[4]B_U_14!$Q$103</definedName>
    <definedName name="bu15total84">[4]B_U_15!$C$95</definedName>
    <definedName name="bu15total84a">[4]B_U_15!$C$103</definedName>
    <definedName name="bu15total85">[4]B_U_15!$D$95</definedName>
    <definedName name="bu15total85a">[4]B_U_15!$D$103</definedName>
    <definedName name="bu15total86">[4]B_U_15!$E$95</definedName>
    <definedName name="bu15total86a">[4]B_U_15!$E$103</definedName>
    <definedName name="bu15total87">[4]B_U_15!$F$95</definedName>
    <definedName name="bu15total87a">[4]B_U_15!$F$103</definedName>
    <definedName name="bu15total88">[4]B_U_15!$G$95</definedName>
    <definedName name="bu15total88a">[4]B_U_15!$G$103</definedName>
    <definedName name="bu15total89">[4]B_U_15!$H$95</definedName>
    <definedName name="bu15total89a">[4]B_U_15!$H$103</definedName>
    <definedName name="bu15total90">[4]B_U_15!$I$95</definedName>
    <definedName name="bu15total90a">[4]B_U_15!$I$103</definedName>
    <definedName name="bu15total91">[4]B_U_15!$J$95</definedName>
    <definedName name="bu15total91a">[4]B_U_15!$J$103</definedName>
    <definedName name="bu15total92">[4]B_U_15!$K$95</definedName>
    <definedName name="bu15total92a">[4]B_U_15!$K$103</definedName>
    <definedName name="bu15total93">[4]B_U_15!$L$95</definedName>
    <definedName name="bu15total93a">[4]B_U_15!$L$103</definedName>
    <definedName name="bu15total94">[4]B_U_15!$M$95</definedName>
    <definedName name="bu15total94a">[4]B_U_15!$M$103</definedName>
    <definedName name="bu15total95">[4]B_U_15!$N$95</definedName>
    <definedName name="bu15total95a">[4]B_U_15!$N$103</definedName>
    <definedName name="bu15total96">[4]B_U_15!$O$95</definedName>
    <definedName name="bu15total96a">[4]B_U_15!$O$103</definedName>
    <definedName name="bu15total97">[4]B_U_15!$P$95</definedName>
    <definedName name="bu15total97a">[4]B_U_15!$P$103</definedName>
    <definedName name="bu15total98">[4]B_U_15!$Q$95</definedName>
    <definedName name="bu15total98a">[4]B_U_15!$Q$103</definedName>
    <definedName name="bu16total84">[4]B_U_16!$C$95</definedName>
    <definedName name="bu16total84a">[4]B_U_16!$C$103</definedName>
    <definedName name="bu16total85">[4]B_U_16!$D$95</definedName>
    <definedName name="bu16total85a">[4]B_U_16!$D$103</definedName>
    <definedName name="bu16total86">[4]B_U_16!$E$95</definedName>
    <definedName name="bu16total86a">[4]B_U_16!$E$103</definedName>
    <definedName name="bu16total87">[4]B_U_16!$F$95</definedName>
    <definedName name="bu16total87a">[4]B_U_16!$F$103</definedName>
    <definedName name="bu16total88">[4]B_U_16!$G$95</definedName>
    <definedName name="bu16total88a">[4]B_U_16!$G$103</definedName>
    <definedName name="bu16total89">[4]B_U_16!$H$95</definedName>
    <definedName name="bu16total89a">[4]B_U_16!$H$103</definedName>
    <definedName name="bu16total90">[4]B_U_16!$I$95</definedName>
    <definedName name="bu16total90a">[4]B_U_16!$I$103</definedName>
    <definedName name="bu16total91">[4]B_U_16!$J$95</definedName>
    <definedName name="bu16total91a">[4]B_U_16!$J$103</definedName>
    <definedName name="bu16total92">[4]B_U_16!$K$95</definedName>
    <definedName name="bu16total92a">[4]B_U_16!$K$103</definedName>
    <definedName name="bu16total93">[4]B_U_16!$L$95</definedName>
    <definedName name="bu16total93a">[4]B_U_16!$L$103</definedName>
    <definedName name="bu16total94">[4]B_U_16!$M$95</definedName>
    <definedName name="bu16total94a">[4]B_U_16!$M$103</definedName>
    <definedName name="bu16total95">[4]B_U_16!$N$95</definedName>
    <definedName name="bu16total95a">[4]B_U_16!$N$103</definedName>
    <definedName name="bu16total96">[4]B_U_16!$O$95</definedName>
    <definedName name="bu16total96a">[4]B_U_16!$O$103</definedName>
    <definedName name="bu16total97">[4]B_U_16!$P$95</definedName>
    <definedName name="bu16total97a">[4]B_U_16!$P$103</definedName>
    <definedName name="bu16total98">[4]B_U_16!$Q$95</definedName>
    <definedName name="bu16total98a">[4]B_U_16!$Q$103</definedName>
    <definedName name="bu17total84">[4]B_U_17!$C$95</definedName>
    <definedName name="bu17total84a">[4]B_U_17!$C$103</definedName>
    <definedName name="bu17total85">[4]B_U_17!$D$95</definedName>
    <definedName name="bu17total85a">[4]B_U_17!$D$103</definedName>
    <definedName name="bu17total86">[4]B_U_17!$E$95</definedName>
    <definedName name="bu17total86a">[4]B_U_17!$E$103</definedName>
    <definedName name="bu17total87">[4]B_U_17!$F$95</definedName>
    <definedName name="bu17total87a">[4]B_U_17!$F$103</definedName>
    <definedName name="bu17total88">[4]B_U_17!$G$95</definedName>
    <definedName name="bu17total88a">[4]B_U_17!$G$103</definedName>
    <definedName name="bu17total89">[4]B_U_17!$H$95</definedName>
    <definedName name="bu17total89a">[4]B_U_17!$H$103</definedName>
    <definedName name="bu17total90">[4]B_U_17!$I$95</definedName>
    <definedName name="bu17total90a">[4]B_U_17!$I$103</definedName>
    <definedName name="bu17total91">[4]B_U_17!$J$95</definedName>
    <definedName name="bu17total91a">[4]B_U_17!$J$103</definedName>
    <definedName name="bu17total92">[4]B_U_17!$K$95</definedName>
    <definedName name="bu17total92a">[4]B_U_17!$K$103</definedName>
    <definedName name="bu17total93">[4]B_U_17!$L$95</definedName>
    <definedName name="bu17total93a">[4]B_U_17!$L$103</definedName>
    <definedName name="bu17total94">[4]B_U_17!$M$95</definedName>
    <definedName name="bu17total94a">[4]B_U_17!$M$103</definedName>
    <definedName name="bu17total95">[4]B_U_17!$N$95</definedName>
    <definedName name="bu17total95a">[4]B_U_17!$N$103</definedName>
    <definedName name="bu17total96">[4]B_U_17!$O$95</definedName>
    <definedName name="bu17total96a">[4]B_U_17!$O$103</definedName>
    <definedName name="bu17total97">[4]B_U_17!$P$95</definedName>
    <definedName name="bu17total97a">[4]B_U_17!$P$103</definedName>
    <definedName name="bu17total98">[4]B_U_17!$Q$95</definedName>
    <definedName name="bu17total98a">[4]B_U_17!$Q$103</definedName>
    <definedName name="bu18total84">[4]B_U_18!$C$95</definedName>
    <definedName name="bu18total84a">[4]B_U_18!$C$103</definedName>
    <definedName name="bu18total85">[4]B_U_18!$D$95</definedName>
    <definedName name="bu18total85a">[4]B_U_18!$D$103</definedName>
    <definedName name="bu18total86">[4]B_U_18!$E$95</definedName>
    <definedName name="bu18total86a">[4]B_U_18!$E$103</definedName>
    <definedName name="bu18total87">[4]B_U_18!$F$95</definedName>
    <definedName name="bu18total87a">[4]B_U_18!$F$103</definedName>
    <definedName name="bu18total88">[4]B_U_18!$G$95</definedName>
    <definedName name="bu18total88a">[4]B_U_18!$G$103</definedName>
    <definedName name="bu18total89">[4]B_U_18!$H$95</definedName>
    <definedName name="bu18total89a">[4]B_U_18!$H$103</definedName>
    <definedName name="bu18total90">[4]B_U_18!$I$95</definedName>
    <definedName name="bu18total90a">[4]B_U_18!$I$103</definedName>
    <definedName name="bu18total91">[4]B_U_18!$J$95</definedName>
    <definedName name="bu18total91a">[4]B_U_18!$J$103</definedName>
    <definedName name="bu18total92">[4]B_U_18!$K$95</definedName>
    <definedName name="bu18total92a">[4]B_U_18!$K$103</definedName>
    <definedName name="bu18total93">[4]B_U_18!$L$95</definedName>
    <definedName name="bu18total93a">[4]B_U_18!$L$103</definedName>
    <definedName name="bu18total94">[4]B_U_18!$M$95</definedName>
    <definedName name="bu18total94a">[4]B_U_18!$M$103</definedName>
    <definedName name="bu18total95">[4]B_U_18!$N$95</definedName>
    <definedName name="bu18total95a">[4]B_U_18!$N$103</definedName>
    <definedName name="bu18total96">[4]B_U_18!$O$95</definedName>
    <definedName name="bu18total96a">[4]B_U_18!$O$103</definedName>
    <definedName name="bu18total97">[4]B_U_18!$P$95</definedName>
    <definedName name="bu18total97a">[4]B_U_18!$P$103</definedName>
    <definedName name="bu18total98">[4]B_U_18!$Q$95</definedName>
    <definedName name="bu18total98a">[4]B_U_18!$Q$103</definedName>
    <definedName name="bu19total84">[4]B_U_19!$C$95</definedName>
    <definedName name="bu19total84a">[4]B_U_19!$C$103</definedName>
    <definedName name="bu19total85">[4]B_U_19!$D$95</definedName>
    <definedName name="bu19total85a">[4]B_U_19!$D$103</definedName>
    <definedName name="bu19total86">[4]B_U_19!$E$95</definedName>
    <definedName name="bu19total86a">[4]B_U_19!$E$103</definedName>
    <definedName name="bu19total87">[4]B_U_19!$F$95</definedName>
    <definedName name="bu19total87a">[4]B_U_19!$F$103</definedName>
    <definedName name="bu19total88">[4]B_U_19!$G$95</definedName>
    <definedName name="bu19total88a">[4]B_U_19!$G$103</definedName>
    <definedName name="bu19total89">[4]B_U_19!$H$95</definedName>
    <definedName name="bu19total89a">[4]B_U_19!$H$103</definedName>
    <definedName name="bu19total90">[4]B_U_19!$I$95</definedName>
    <definedName name="bu19total90a">[4]B_U_19!$I$103</definedName>
    <definedName name="bu19total91">[4]B_U_19!$J$95</definedName>
    <definedName name="bu19total91a">[4]B_U_19!$J$103</definedName>
    <definedName name="bu19total92">[4]B_U_19!$K$95</definedName>
    <definedName name="bu19total92a">[4]B_U_19!$K$103</definedName>
    <definedName name="bu19total93">[4]B_U_19!$L$95</definedName>
    <definedName name="bu19total93a">[4]B_U_19!$L$103</definedName>
    <definedName name="bu19total94">[4]B_U_19!$M$95</definedName>
    <definedName name="bu19total94a">[4]B_U_19!$M$103</definedName>
    <definedName name="bu19total95">[4]B_U_19!$N$95</definedName>
    <definedName name="bu19total95a">[4]B_U_19!$N$103</definedName>
    <definedName name="bu19total96">[4]B_U_19!$O$95</definedName>
    <definedName name="bu19total96a">[4]B_U_19!$O$103</definedName>
    <definedName name="bu19total97">[4]B_U_19!$P$95</definedName>
    <definedName name="bu19total97a">[4]B_U_19!$P$103</definedName>
    <definedName name="bu19total98">[4]B_U_19!$Q$95</definedName>
    <definedName name="bu19total98a">[4]B_U_19!$Q$103</definedName>
    <definedName name="bu1total84">'[4]PHASE II'!$C$95</definedName>
    <definedName name="bu1total84a">'[4]PHASE II'!$C$103</definedName>
    <definedName name="bu1total85">'[4]PHASE II'!$D$95</definedName>
    <definedName name="bu1total85a">'[4]PHASE II'!$D$103</definedName>
    <definedName name="bu1total86">'[4]PHASE II'!$E$95</definedName>
    <definedName name="bu1total86a">'[4]PHASE II'!$E$103</definedName>
    <definedName name="bu1total87">'[4]PHASE II'!$F$95</definedName>
    <definedName name="bu1total87a">'[4]PHASE II'!$F$103</definedName>
    <definedName name="bu1total88">'[4]PHASE II'!$G$95</definedName>
    <definedName name="bu1total88a">'[4]PHASE II'!$G$103</definedName>
    <definedName name="bu1total89">'[4]PHASE II'!$H$95</definedName>
    <definedName name="bu1total89a">'[4]PHASE II'!$H$103</definedName>
    <definedName name="bu1total90">'[4]PHASE II'!$I$95</definedName>
    <definedName name="bu1total90a">'[4]PHASE II'!$I$103</definedName>
    <definedName name="bu1total91">'[4]PHASE II'!$K$95</definedName>
    <definedName name="bu1total91a">'[4]PHASE II'!$K$103</definedName>
    <definedName name="bu1total92">'[4]PHASE II'!$M$95</definedName>
    <definedName name="bu1total92a">'[4]PHASE II'!$M$103</definedName>
    <definedName name="bu1total93">'[4]PHASE II'!$O$95</definedName>
    <definedName name="bu1total93a">'[4]PHASE II'!$O$103</definedName>
    <definedName name="bu1total94">'[4]PHASE II'!$Q$95</definedName>
    <definedName name="bu1total94a">'[4]PHASE II'!$Q$103</definedName>
    <definedName name="bu1total95">'[4]PHASE II'!$S$95</definedName>
    <definedName name="bu1total95a">'[4]PHASE II'!$S$103</definedName>
    <definedName name="bu1total96">'[4]PHASE II'!$T$95</definedName>
    <definedName name="bu1total96a">'[4]PHASE II'!$T$103</definedName>
    <definedName name="bu1total97">'[4]PHASE II'!$U$95</definedName>
    <definedName name="bu1total97a">'[4]PHASE II'!$U$103</definedName>
    <definedName name="bu1total98">'[4]PHASE II'!$W$95</definedName>
    <definedName name="bu1total98a">'[4]PHASE II'!$W$103</definedName>
    <definedName name="bu20total84">[4]B_U_20!$C$95</definedName>
    <definedName name="bu20total84a">[4]B_U_20!$C$103</definedName>
    <definedName name="bu20total85">[4]B_U_20!$D$95</definedName>
    <definedName name="bu20total85a">[4]B_U_20!$D$103</definedName>
    <definedName name="bu20total86">[4]B_U_20!$E$95</definedName>
    <definedName name="bu20total86a">[4]B_U_20!$E$103</definedName>
    <definedName name="bu20total87">[4]B_U_20!$F$95</definedName>
    <definedName name="bu20total87a">[4]B_U_20!$F$103</definedName>
    <definedName name="bu20total88">[4]B_U_20!$G$95</definedName>
    <definedName name="bu20total88a">[4]B_U_20!$G$103</definedName>
    <definedName name="bu20total89">[4]B_U_20!$H$95</definedName>
    <definedName name="bu20total89a">[4]B_U_20!$H$103</definedName>
    <definedName name="bu20total90">[4]B_U_20!$I$95</definedName>
    <definedName name="bu20total90a">[4]B_U_20!$I$103</definedName>
    <definedName name="bu20total91">[4]B_U_20!$J$95</definedName>
    <definedName name="bu20total91a">[4]B_U_20!$J$103</definedName>
    <definedName name="bu20total92">[4]B_U_20!$K$95</definedName>
    <definedName name="bu20total92a">[4]B_U_20!$K$103</definedName>
    <definedName name="bu20total93">[4]B_U_20!$L$95</definedName>
    <definedName name="bu20total93a">[4]B_U_20!$L$103</definedName>
    <definedName name="bu20total94">[4]B_U_20!$M$95</definedName>
    <definedName name="bu20total94a">[4]B_U_20!$M$103</definedName>
    <definedName name="bu20total95">[4]B_U_20!$N$95</definedName>
    <definedName name="bu20total95a">[4]B_U_20!$N$103</definedName>
    <definedName name="bu20total96">[4]B_U_20!$O$95</definedName>
    <definedName name="bu20total96a">[4]B_U_20!$O$103</definedName>
    <definedName name="bu20total97">[4]B_U_20!$P$95</definedName>
    <definedName name="bu20total97a">[4]B_U_20!$P$103</definedName>
    <definedName name="bu20total98">[4]B_U_20!$Q$95</definedName>
    <definedName name="bu20total98a">[4]B_U_20!$Q$103</definedName>
    <definedName name="bu21total84">[4]B_U_21!$C$95</definedName>
    <definedName name="bu21total84a">[4]B_U_21!$C$103</definedName>
    <definedName name="bu21total85">[4]B_U_21!$D$95</definedName>
    <definedName name="bu21total85a">[4]B_U_21!$D$103</definedName>
    <definedName name="bu21total86">[4]B_U_21!$E$95</definedName>
    <definedName name="bu21total86a">[4]B_U_21!$E$103</definedName>
    <definedName name="bu21total87">[4]B_U_21!$F$95</definedName>
    <definedName name="bu21total87a">[4]B_U_21!$F$103</definedName>
    <definedName name="bu21total88">[4]B_U_21!$G$95</definedName>
    <definedName name="bu21total88a">[4]B_U_21!$G$103</definedName>
    <definedName name="bu21total89">[4]B_U_21!$H$95</definedName>
    <definedName name="bu21total89a">[4]B_U_21!$H$103</definedName>
    <definedName name="bu21total90">[4]B_U_21!$I$95</definedName>
    <definedName name="bu21total90a">[4]B_U_21!$I$103</definedName>
    <definedName name="bu21total91">[4]B_U_21!$J$95</definedName>
    <definedName name="bu21total91a">[4]B_U_21!$J$103</definedName>
    <definedName name="bu21total92">[4]B_U_21!$K$95</definedName>
    <definedName name="bu21total92a">[4]B_U_21!$K$103</definedName>
    <definedName name="bu21total93">[4]B_U_21!$L$95</definedName>
    <definedName name="bu21total93a">[4]B_U_21!$L$103</definedName>
    <definedName name="bu21total94">[4]B_U_21!$M$95</definedName>
    <definedName name="bu21total94a">[4]B_U_21!$M$103</definedName>
    <definedName name="bu21total95">[4]B_U_21!$N$95</definedName>
    <definedName name="bu21total95a">[4]B_U_21!$N$103</definedName>
    <definedName name="bu21total96">[4]B_U_21!$O$95</definedName>
    <definedName name="bu21total96a">[4]B_U_21!$O$103</definedName>
    <definedName name="bu21total97">[4]B_U_21!$P$95</definedName>
    <definedName name="bu21total97a">[4]B_U_21!$P$103</definedName>
    <definedName name="bu21total98">[4]B_U_21!$Q$95</definedName>
    <definedName name="bu21total98a">[4]B_U_21!$Q$103</definedName>
    <definedName name="bu22total84">[4]B_U_22!$C$95</definedName>
    <definedName name="bu22total84a">[4]B_U_22!$C$103</definedName>
    <definedName name="bu22total85">[4]B_U_22!$D$95</definedName>
    <definedName name="bu22total85a">[4]B_U_22!$D$103</definedName>
    <definedName name="bu22total86">[4]B_U_22!$E$95</definedName>
    <definedName name="bu22total86a">[4]B_U_22!$E$103</definedName>
    <definedName name="bu22total87">[4]B_U_22!$F$95</definedName>
    <definedName name="bu22total87a">[4]B_U_22!$F$103</definedName>
    <definedName name="bu22total88">[4]B_U_22!$G$95</definedName>
    <definedName name="bu22total88a">[4]B_U_22!$G$103</definedName>
    <definedName name="bu22total89">[4]B_U_22!$H$95</definedName>
    <definedName name="bu22total89a">[4]B_U_22!$H$103</definedName>
    <definedName name="bu22total90">[4]B_U_22!$I$95</definedName>
    <definedName name="bu22total90a">[4]B_U_22!$I$103</definedName>
    <definedName name="bu22total91">[4]B_U_22!$J$95</definedName>
    <definedName name="bu22total91a">[4]B_U_22!$J$103</definedName>
    <definedName name="bu22total92">[4]B_U_22!$K$95</definedName>
    <definedName name="bu22total92a">[4]B_U_22!$K$103</definedName>
    <definedName name="bu22total93">[4]B_U_22!$L$95</definedName>
    <definedName name="bu22total93a">[4]B_U_22!$L$103</definedName>
    <definedName name="bu22total94">[4]B_U_22!$M$95</definedName>
    <definedName name="bu22total94a">[4]B_U_22!$M$103</definedName>
    <definedName name="bu22total95">[4]B_U_22!$N$95</definedName>
    <definedName name="bu22total95a">[4]B_U_22!$N$103</definedName>
    <definedName name="bu22total96">[4]B_U_22!$O$95</definedName>
    <definedName name="bu22total96a">[4]B_U_22!$O$103</definedName>
    <definedName name="bu22total97">[4]B_U_22!$P$95</definedName>
    <definedName name="bu22total97a">[4]B_U_22!$P$103</definedName>
    <definedName name="bu22total98">[4]B_U_22!$Q$95</definedName>
    <definedName name="bu22total98a">[4]B_U_22!$Q$103</definedName>
    <definedName name="bu23total84">[4]B_U_23!$C$95</definedName>
    <definedName name="bu23total84a">[4]B_U_23!$C$103</definedName>
    <definedName name="bu23total85">[4]B_U_23!$D$95</definedName>
    <definedName name="bu23total85a">[4]B_U_23!$D$103</definedName>
    <definedName name="bu23total86">[4]B_U_23!$E$95</definedName>
    <definedName name="bu23total86a">[4]B_U_23!$E$103</definedName>
    <definedName name="bu23total87">[4]B_U_23!$F$95</definedName>
    <definedName name="bu23total87a">[4]B_U_23!$F$103</definedName>
    <definedName name="bu23total88">[4]B_U_23!$G$95</definedName>
    <definedName name="bu23total88a">[4]B_U_23!$G$103</definedName>
    <definedName name="bu23total89">[4]B_U_23!$H$95</definedName>
    <definedName name="bu23total89a">[4]B_U_23!$H$103</definedName>
    <definedName name="bu23total90">[4]B_U_23!$I$95</definedName>
    <definedName name="bu23total90a">[4]B_U_23!$I$103</definedName>
    <definedName name="bu23total91">[4]B_U_23!$J$95</definedName>
    <definedName name="bu23total91a">[4]B_U_23!$J$103</definedName>
    <definedName name="bu23total92">[4]B_U_23!$K$95</definedName>
    <definedName name="bu23total92a">[4]B_U_23!$K$103</definedName>
    <definedName name="bu23total93">[4]B_U_23!$L$95</definedName>
    <definedName name="bu23total93a">[4]B_U_23!$L$103</definedName>
    <definedName name="bu23total94">[4]B_U_23!$M$95</definedName>
    <definedName name="bu23total94a">[4]B_U_23!$M$103</definedName>
    <definedName name="bu23total95">[4]B_U_23!$N$95</definedName>
    <definedName name="bu23total95a">[4]B_U_23!$N$103</definedName>
    <definedName name="bu23total96">[4]B_U_23!$O$95</definedName>
    <definedName name="bu23total96a">[4]B_U_23!$O$103</definedName>
    <definedName name="bu23total97">[4]B_U_23!$P$95</definedName>
    <definedName name="bu23total97a">[4]B_U_23!$P$103</definedName>
    <definedName name="bu23total98">[4]B_U_23!$Q$95</definedName>
    <definedName name="bu23total98a">[4]B_U_23!$Q$103</definedName>
    <definedName name="bu2total84">'[4]ORIGINAL CLAIM'!$C$95</definedName>
    <definedName name="bu2total84a">'[4]ORIGINAL CLAIM'!$C$103</definedName>
    <definedName name="bu2total85">'[4]ORIGINAL CLAIM'!$D$95</definedName>
    <definedName name="bu2total85a">'[4]ORIGINAL CLAIM'!$D$103</definedName>
    <definedName name="bu2total86">'[4]ORIGINAL CLAIM'!$E$95</definedName>
    <definedName name="bu2total86a">'[4]ORIGINAL CLAIM'!$E$103</definedName>
    <definedName name="bu2total87">'[4]ORIGINAL CLAIM'!$F$95</definedName>
    <definedName name="bu2total87a">'[4]ORIGINAL CLAIM'!$F$103</definedName>
    <definedName name="bu2total88">'[4]ORIGINAL CLAIM'!$G$95</definedName>
    <definedName name="bu2total88a">'[4]ORIGINAL CLAIM'!$G$103</definedName>
    <definedName name="bu2total89">'[4]ORIGINAL CLAIM'!$H$95</definedName>
    <definedName name="bu2total89a">'[4]ORIGINAL CLAIM'!$H$103</definedName>
    <definedName name="bu2total90">'[4]ORIGINAL CLAIM'!$I$95</definedName>
    <definedName name="bu2total90a">'[4]ORIGINAL CLAIM'!$I$103</definedName>
    <definedName name="bu2total91">'[4]ORIGINAL CLAIM'!$J$95</definedName>
    <definedName name="bu2total91a">'[4]ORIGINAL CLAIM'!$J$103</definedName>
    <definedName name="bu2total92">'[4]ORIGINAL CLAIM'!$K$95</definedName>
    <definedName name="bu2total92a">'[4]ORIGINAL CLAIM'!$K$103</definedName>
    <definedName name="bu2total93">'[4]ORIGINAL CLAIM'!$L$95</definedName>
    <definedName name="bu2total93a">'[4]ORIGINAL CLAIM'!$L$103</definedName>
    <definedName name="bu2total94">'[4]ORIGINAL CLAIM'!$M$95</definedName>
    <definedName name="bu2total94a">'[4]ORIGINAL CLAIM'!$M$103</definedName>
    <definedName name="bu2total95">'[4]ORIGINAL CLAIM'!$N$95</definedName>
    <definedName name="bu2total95a">'[4]ORIGINAL CLAIM'!$N$103</definedName>
    <definedName name="bu2total96">'[4]ORIGINAL CLAIM'!$O$95</definedName>
    <definedName name="bu2total96a">'[4]ORIGINAL CLAIM'!$O$103</definedName>
    <definedName name="bu2total97">'[4]ORIGINAL CLAIM'!$P$95</definedName>
    <definedName name="bu2total97a">'[4]ORIGINAL CLAIM'!$P$103</definedName>
    <definedName name="bu2total98">'[4]ORIGINAL CLAIM'!$Q$95</definedName>
    <definedName name="bu2total98a">'[4]ORIGINAL CLAIM'!$Q$103</definedName>
    <definedName name="bu3total84">[4]B_U_3!$C$95</definedName>
    <definedName name="bu3total84a">[4]B_U_3!$C$103</definedName>
    <definedName name="bu3total85">[4]B_U_3!$D$95</definedName>
    <definedName name="bu3total85a">[4]B_U_3!$D$103</definedName>
    <definedName name="bu3total86">[4]B_U_3!$E$95</definedName>
    <definedName name="bu3total86a">[4]B_U_3!$E$103</definedName>
    <definedName name="bu3total87">[4]B_U_3!$F$95</definedName>
    <definedName name="bu3total87a">[4]B_U_3!$F$103</definedName>
    <definedName name="bu3total88">[4]B_U_3!$G$95</definedName>
    <definedName name="bu3total88a">[4]B_U_3!$G$103</definedName>
    <definedName name="bu3total89">[4]B_U_3!$H$95</definedName>
    <definedName name="bu3total89a">[4]B_U_3!$H$103</definedName>
    <definedName name="bu3total90">[4]B_U_3!$I$95</definedName>
    <definedName name="bu3total90a">[4]B_U_3!$I$103</definedName>
    <definedName name="bu3total91">[4]B_U_3!$J$95</definedName>
    <definedName name="bu3total91a">[4]B_U_3!$J$103</definedName>
    <definedName name="bu3total92">[4]B_U_3!$K$95</definedName>
    <definedName name="bu3total92a">[4]B_U_3!$K$103</definedName>
    <definedName name="bu3total93">[4]B_U_3!$L$95</definedName>
    <definedName name="bu3total93a">[4]B_U_3!$L$103</definedName>
    <definedName name="bu3total94">[4]B_U_3!$M$95</definedName>
    <definedName name="bu3total94a">[4]B_U_3!$M$103</definedName>
    <definedName name="bu3total95">[4]B_U_3!$N$95</definedName>
    <definedName name="bu3total95a">[4]B_U_3!$N$103</definedName>
    <definedName name="bu3total96">[4]B_U_3!$O$95</definedName>
    <definedName name="bu3total96a">[4]B_U_3!$O$103</definedName>
    <definedName name="bu3total97">[4]B_U_3!$P$95</definedName>
    <definedName name="bu3total97a">[4]B_U_3!$P$103</definedName>
    <definedName name="bu3total98">[4]B_U_3!$Q$95</definedName>
    <definedName name="bu3total98a">[4]B_U_3!$Q$103</definedName>
    <definedName name="bu4total84">[4]B_U_4!$C$95</definedName>
    <definedName name="bu4total84a">[4]B_U_4!$C$103</definedName>
    <definedName name="bu4total85">[4]B_U_4!$D$95</definedName>
    <definedName name="bu4total85a">[4]B_U_4!$D$103</definedName>
    <definedName name="bu4total86">[4]B_U_4!$E$95</definedName>
    <definedName name="bu4total86a">[4]B_U_4!$E$103</definedName>
    <definedName name="bu4total87">[4]B_U_4!$F$95</definedName>
    <definedName name="bu4total87a">[4]B_U_4!$F$103</definedName>
    <definedName name="bu4total88">[4]B_U_4!$G$95</definedName>
    <definedName name="bu4total88a">[4]B_U_4!$G$103</definedName>
    <definedName name="bu4total89">[4]B_U_4!$H$95</definedName>
    <definedName name="bu4total89a">[4]B_U_4!$H$103</definedName>
    <definedName name="bu4total90">[4]B_U_4!$I$95</definedName>
    <definedName name="bu4total90a">[4]B_U_4!$I$103</definedName>
    <definedName name="bu4total91">[4]B_U_4!$J$95</definedName>
    <definedName name="bu4total91a">[4]B_U_4!$J$103</definedName>
    <definedName name="bu4total92">[4]B_U_4!$K$95</definedName>
    <definedName name="bu4total92a">[4]B_U_4!$K$103</definedName>
    <definedName name="bu4total93">[4]B_U_4!$L$95</definedName>
    <definedName name="bu4total93a">[4]B_U_4!$L$103</definedName>
    <definedName name="bu4total94">[4]B_U_4!$M$95</definedName>
    <definedName name="bu4total94a">[4]B_U_4!$M$103</definedName>
    <definedName name="bu4total95">[4]B_U_4!$N$95</definedName>
    <definedName name="bu4total95a">[4]B_U_4!$N$103</definedName>
    <definedName name="bu4total96">[4]B_U_4!$O$95</definedName>
    <definedName name="bu4total96a">[4]B_U_4!$O$103</definedName>
    <definedName name="bu4total97">[4]B_U_4!$P$95</definedName>
    <definedName name="bu4total97a">[4]B_U_4!$P$103</definedName>
    <definedName name="bu4total98">[4]B_U_4!$Q$95</definedName>
    <definedName name="bu4total98a">[4]B_U_4!$Q$103</definedName>
    <definedName name="bu5total84">[4]B_U_5!$C$95</definedName>
    <definedName name="bu5total84a">[4]B_U_5!$C$103</definedName>
    <definedName name="bu5total85">[4]B_U_5!$D$95</definedName>
    <definedName name="bu5total85a">[4]B_U_5!$D$103</definedName>
    <definedName name="bu5total86">[4]B_U_5!$E$95</definedName>
    <definedName name="bu5total86a">[4]B_U_5!$E$103</definedName>
    <definedName name="bu5total87">[4]B_U_5!$F$95</definedName>
    <definedName name="bu5total87a">[4]B_U_5!$F$103</definedName>
    <definedName name="bu5total88">[4]B_U_5!$G$95</definedName>
    <definedName name="bu5total88a">[4]B_U_5!$G$103</definedName>
    <definedName name="bu5total89">[4]B_U_5!$H$95</definedName>
    <definedName name="bu5total89a">[4]B_U_5!$H$103</definedName>
    <definedName name="bu5total90">[4]B_U_5!$I$95</definedName>
    <definedName name="bu5total90a">[4]B_U_5!$I$103</definedName>
    <definedName name="bu5total91">[4]B_U_5!$J$95</definedName>
    <definedName name="bu5total91a">[4]B_U_5!$J$103</definedName>
    <definedName name="bu5total92">[4]B_U_5!$K$95</definedName>
    <definedName name="bu5total92a">[4]B_U_5!$K$103</definedName>
    <definedName name="bu5total93">[4]B_U_5!$L$95</definedName>
    <definedName name="bu5total93a">[4]B_U_5!$L$103</definedName>
    <definedName name="bu5total94">[4]B_U_5!$M$95</definedName>
    <definedName name="bu5total94a">[4]B_U_5!$M$103</definedName>
    <definedName name="bu5total95">[4]B_U_5!$N$95</definedName>
    <definedName name="bu5total95a">[4]B_U_5!$N$103</definedName>
    <definedName name="bu5total96">[4]B_U_5!$O$95</definedName>
    <definedName name="bu5total96a">[4]B_U_5!$O$103</definedName>
    <definedName name="bu5total97">[4]B_U_5!$P$95</definedName>
    <definedName name="bu5total97a">[4]B_U_5!$P$103</definedName>
    <definedName name="bu5total98">[4]B_U_5!$Q$95</definedName>
    <definedName name="bu5total98a">[4]B_U_5!$Q$103</definedName>
    <definedName name="bu6total84">[4]B_U_6!$C$94</definedName>
    <definedName name="bu6total84a">[4]B_U_6!$C$103</definedName>
    <definedName name="bu6total85">[4]B_U_6!$D$94</definedName>
    <definedName name="bu6total85a">[4]B_U_6!$D$103</definedName>
    <definedName name="bu6total86">[4]B_U_6!$E$94</definedName>
    <definedName name="bu6total86a">[4]B_U_6!$E$103</definedName>
    <definedName name="bu6total87">[4]B_U_6!$F$94</definedName>
    <definedName name="bu6total87a">[4]B_U_6!$F$103</definedName>
    <definedName name="bu6total88">[4]B_U_6!$G$94</definedName>
    <definedName name="bu6total88a">[4]B_U_6!$G$103</definedName>
    <definedName name="bu6total89">[4]B_U_6!$H$94</definedName>
    <definedName name="bu6total89a">[4]B_U_6!$H$103</definedName>
    <definedName name="bu6total90">[4]B_U_6!$I$94</definedName>
    <definedName name="bu6total90a">[4]B_U_6!$I$103</definedName>
    <definedName name="bu6total91">[4]B_U_6!$J$94</definedName>
    <definedName name="bu6total91a">[4]B_U_6!$J$103</definedName>
    <definedName name="bu6total92">[4]B_U_6!$K$94</definedName>
    <definedName name="bu6total92a">[4]B_U_6!$K$103</definedName>
    <definedName name="bu6total93">[4]B_U_6!$L$94</definedName>
    <definedName name="bu6total93a">[4]B_U_6!$L$103</definedName>
    <definedName name="bu6total94">[4]B_U_6!$M$94</definedName>
    <definedName name="bu6total94a">[4]B_U_6!$M$103</definedName>
    <definedName name="bu6total95">[4]B_U_6!$N$94</definedName>
    <definedName name="bu6total95a">[4]B_U_6!$N$103</definedName>
    <definedName name="bu6total96">[4]B_U_6!$O$94</definedName>
    <definedName name="bu6total96a">[4]B_U_6!$O$103</definedName>
    <definedName name="bu6total97">[4]B_U_6!$P$94</definedName>
    <definedName name="bu6total97a">[4]B_U_6!$P$103</definedName>
    <definedName name="bu6total98">[4]B_U_6!$Q$94</definedName>
    <definedName name="bu6total98a">[4]B_U_6!$Q$103</definedName>
    <definedName name="bu7total84">[4]B_U_7!$C$95</definedName>
    <definedName name="bu7total84a">[4]B_U_7!$C$103</definedName>
    <definedName name="bu7total85">[4]B_U_7!$D$95</definedName>
    <definedName name="bu7total85a">[4]B_U_7!$D$103</definedName>
    <definedName name="bu7total86">[4]B_U_7!$E$95</definedName>
    <definedName name="bu7total86a">[4]B_U_7!$E$103</definedName>
    <definedName name="bu7total87">[4]B_U_7!$F$95</definedName>
    <definedName name="bu7total87a">[4]B_U_7!$F$103</definedName>
    <definedName name="bu7total88">[4]B_U_7!$G$95</definedName>
    <definedName name="bu7total88a">[4]B_U_7!$G$103</definedName>
    <definedName name="bu7total89">[4]B_U_7!$H$95</definedName>
    <definedName name="bu7total89a">[4]B_U_7!$H$103</definedName>
    <definedName name="bu7total90">[4]B_U_7!$I$95</definedName>
    <definedName name="bu7total90a">[4]B_U_7!$I$103</definedName>
    <definedName name="bu7total91">[4]B_U_7!$J$95</definedName>
    <definedName name="bu7total91a">[4]B_U_7!$J$103</definedName>
    <definedName name="bu7total92">[4]B_U_7!$K$95</definedName>
    <definedName name="bu7total92a">[4]B_U_7!$K$103</definedName>
    <definedName name="bu7total93">[4]B_U_7!$L$95</definedName>
    <definedName name="bu7total93a">[4]B_U_7!$L$103</definedName>
    <definedName name="bu7total94">[4]B_U_7!$M$95</definedName>
    <definedName name="bu7total94a">[4]B_U_7!$M$103</definedName>
    <definedName name="bu7total95">[4]B_U_7!$N$95</definedName>
    <definedName name="bu7total95a">[4]B_U_7!$N$103</definedName>
    <definedName name="bu7total96">[4]B_U_7!$O$95</definedName>
    <definedName name="bu7total96a">[4]B_U_7!$O$103</definedName>
    <definedName name="bu7total97">[4]B_U_7!$P$95</definedName>
    <definedName name="bu7total97a">[4]B_U_7!$P$103</definedName>
    <definedName name="bu7total98">[4]B_U_7!$Q$95</definedName>
    <definedName name="bu7total98a">[4]B_U_7!$Q$103</definedName>
    <definedName name="bu8total84">[4]B_U_8!$C$94</definedName>
    <definedName name="bu8total84a">[4]B_U_8!$C$103</definedName>
    <definedName name="bu8total85">[4]B_U_8!$D$94</definedName>
    <definedName name="bu8total85a">[4]B_U_8!$D$103</definedName>
    <definedName name="bu8total86">[4]B_U_8!$E$94</definedName>
    <definedName name="bu8total86a">[4]B_U_8!$E$103</definedName>
    <definedName name="bu8total87">[4]B_U_8!$F$94</definedName>
    <definedName name="bu8total87a">[4]B_U_8!$F$103</definedName>
    <definedName name="bu8total88">[4]B_U_8!$G$94</definedName>
    <definedName name="bu8total88a">[4]B_U_8!$G$103</definedName>
    <definedName name="bu8total89">[4]B_U_8!$H$94</definedName>
    <definedName name="bu8total89a">[4]B_U_8!$H$103</definedName>
    <definedName name="bu8total90">[4]B_U_8!$I$94</definedName>
    <definedName name="bu8total90a">[4]B_U_8!$I$103</definedName>
    <definedName name="bu8total91">[4]B_U_8!$J$94</definedName>
    <definedName name="bu8total91a">[4]B_U_8!$J$103</definedName>
    <definedName name="bu8total92">[4]B_U_8!$K$94</definedName>
    <definedName name="bu8total92a">[4]B_U_8!$K$103</definedName>
    <definedName name="bu8total93">[4]B_U_8!$L$94</definedName>
    <definedName name="bu8total93a">[4]B_U_8!$L$103</definedName>
    <definedName name="bu8total94">[4]B_U_8!$M$94</definedName>
    <definedName name="bu8total94a">[4]B_U_8!$M$103</definedName>
    <definedName name="bu8total95">[4]B_U_8!$N$94</definedName>
    <definedName name="bu8total95a">[4]B_U_8!$N$103</definedName>
    <definedName name="bu8total96">[4]B_U_8!$O$94</definedName>
    <definedName name="bu8total96a">[4]B_U_8!$O$103</definedName>
    <definedName name="bu8total97">[4]B_U_8!$P$94</definedName>
    <definedName name="bu8total97a">[4]B_U_8!$P$103</definedName>
    <definedName name="bu8total98">[4]B_U_8!$Q$94</definedName>
    <definedName name="bu8total98a">[4]B_U_8!$Q$103</definedName>
    <definedName name="bu9total84">[4]B_U_9!$C$95</definedName>
    <definedName name="bu9total84a">[4]B_U_9!$C$103</definedName>
    <definedName name="bu9total85">[4]B_U_9!$D$95</definedName>
    <definedName name="bu9total85a">[4]B_U_9!$D$103</definedName>
    <definedName name="bu9total86">[4]B_U_9!$E$95</definedName>
    <definedName name="bu9total86a">[4]B_U_9!$E$103</definedName>
    <definedName name="bu9total87">[4]B_U_9!$F$95</definedName>
    <definedName name="bu9total87a">[4]B_U_9!$F$103</definedName>
    <definedName name="bu9total88">[4]B_U_9!$G$95</definedName>
    <definedName name="bu9total88a">[4]B_U_9!$G$103</definedName>
    <definedName name="bu9total89">[4]B_U_9!$H$95</definedName>
    <definedName name="bu9total89a">[4]B_U_9!$H$103</definedName>
    <definedName name="bu9total90">[4]B_U_9!$I$95</definedName>
    <definedName name="bu9total90a">[4]B_U_9!$I$103</definedName>
    <definedName name="bu9total91">[4]B_U_9!$J$95</definedName>
    <definedName name="bu9total91a">[4]B_U_9!$J$103</definedName>
    <definedName name="bu9total92">[4]B_U_9!$K$95</definedName>
    <definedName name="bu9total92a">[4]B_U_9!$K$103</definedName>
    <definedName name="bu9total93">[4]B_U_9!$L$95</definedName>
    <definedName name="bu9total93a">[4]B_U_9!$L$103</definedName>
    <definedName name="bu9total94">[4]B_U_9!$M$95</definedName>
    <definedName name="bu9total94a">[4]B_U_9!$M$103</definedName>
    <definedName name="bu9total95">[4]B_U_9!$N$95</definedName>
    <definedName name="bu9total95a">[4]B_U_9!$N$103</definedName>
    <definedName name="bu9total96">[4]B_U_9!$O$95</definedName>
    <definedName name="bu9total96a">[4]B_U_9!$O$103</definedName>
    <definedName name="bu9total97">[4]B_U_9!$P$95</definedName>
    <definedName name="bu9total97a">[4]B_U_9!$P$103</definedName>
    <definedName name="bu9total98">[4]B_U_9!$Q$95</definedName>
    <definedName name="bu9total98a">[4]B_U_9!$Q$103</definedName>
    <definedName name="BUDGET_YTD">[9]Administrator!$J$60</definedName>
    <definedName name="BUName">[22]SETUP!$C$9</definedName>
    <definedName name="BUTypeAreaRes">'[11]all EED O&amp;M BO data'!$AB$2:$AB$5000</definedName>
    <definedName name="bvfzxcvxczxc">'[8]2005 CapEx (By VP By Dept) Budg'!$A$3:$P$431</definedName>
    <definedName name="bvvlhlkhjl" localSheetId="0">#REF!</definedName>
    <definedName name="bvvlhlkhjl">#REF!</definedName>
    <definedName name="C_" localSheetId="0">#REF!</definedName>
    <definedName name="C_">#REF!</definedName>
    <definedName name="Cal">'[8]2005 CapEx (By VP By Dept) Budg'!$A$3:$P$431</definedName>
    <definedName name="CalculationC">'[8]2005 CapEx (By VP By Dept) Budg'!$A$3:$P$377</definedName>
    <definedName name="CalculationCom">'[8]2005 CapEx (By VP By Dept) Budg'!$A$3:$P$377</definedName>
    <definedName name="CalculationComEd" localSheetId="0">#REF!</definedName>
    <definedName name="CalculationComEd">#REF!</definedName>
    <definedName name="calculationD">'[8]2005 CapEx (By VP By Dept) Budg'!$A$3:$P$377</definedName>
    <definedName name="CalculationP">[23]Calculations!$A$3:$P$382</definedName>
    <definedName name="CalculationPeco">'[8]2005 CapEx (By VP By Dept) Budg'!$A$3:$P$382</definedName>
    <definedName name="Calculations">'[8]2005 CapEx (By VP By Dept) Budg'!$A$3:$P$431</definedName>
    <definedName name="CalculationsC">'[8]2005 CapEx (By VP By Dept) Budg'!$A$3:$P$377</definedName>
    <definedName name="CalculationsC1">'[8]2005 CapEx (By VP By Dept) Budg'!$A$3:$P$377</definedName>
    <definedName name="CalculationsC3" localSheetId="0">#REF!</definedName>
    <definedName name="CalculationsC3">#REF!</definedName>
    <definedName name="CalculationsC4" localSheetId="0">#REF!</definedName>
    <definedName name="CalculationsC4">#REF!</definedName>
    <definedName name="CalculationsC5" localSheetId="0">#REF!</definedName>
    <definedName name="CalculationsC5">#REF!</definedName>
    <definedName name="CalculationsP">'[8]2005 CapEx (By VP By Dept) Budg'!$A$3:$P$382</definedName>
    <definedName name="CalculationsP1">'[8]2005 CapEx (By VP By Dept) Budg'!$A$3:$P$382</definedName>
    <definedName name="CalculationsP2">'[8]2005 CapEx (By VP By Dept) Budg'!$A$3:$P$382</definedName>
    <definedName name="CalculationsP3" localSheetId="0">#REF!</definedName>
    <definedName name="CalculationsP3">#REF!</definedName>
    <definedName name="CalculationsP4" localSheetId="0">#REF!</definedName>
    <definedName name="CalculationsP4">#REF!</definedName>
    <definedName name="CalculationsP5" localSheetId="0">#REF!</definedName>
    <definedName name="CalculationsP5">#REF!</definedName>
    <definedName name="CalculationsP6">#REF!</definedName>
    <definedName name="CalculationsPe">'[8]2005 CapEx (By VP By Dept) Budg'!$A$3:$P$382</definedName>
    <definedName name="CalculationsPeco">'[8]2005 CapEx (By VP By Dept) Budg'!$A$3:$P$382</definedName>
    <definedName name="CalculatP">'[8]2005 CapEx (By VP By Dept) Budg'!$A$3:$P$382</definedName>
    <definedName name="CAPA">'[24]ACT CAP'!$D$7:$T$32</definedName>
    <definedName name="CAPB">'[24]BUD CAP'!$D$7:$O$32</definedName>
    <definedName name="Capital" localSheetId="0">#REF!</definedName>
    <definedName name="Capital">#REF!</definedName>
    <definedName name="cashflow">[14]Control!$AP$5:$AP$30</definedName>
    <definedName name="cbcvbcv" localSheetId="0"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East">'[25]CBPP Summary'!$I$5:$J$16</definedName>
    <definedName name="CBT" localSheetId="0">#REF!</definedName>
    <definedName name="CBT">#REF!</definedName>
    <definedName name="CBWest">'[25]CBPP Summary'!$I$19:$J$25</definedName>
    <definedName name="CBWorkbookPriority" hidden="1">-250256570</definedName>
    <definedName name="cc1end">[4]Model!$A$68:$IV$68</definedName>
    <definedName name="cc1subrange">[4]Model!$A$48:$IV$75</definedName>
    <definedName name="cc2origin">[4]Model!$A$76</definedName>
    <definedName name="cc2subrange">[4]Model!$A$124:$IV$146</definedName>
    <definedName name="cc3subrange">[4]Model!$A$152:$IV$179</definedName>
    <definedName name="ccbbcvbc" localSheetId="0"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TR_Data">[26]CCTR_Data!$A$5:$B$5086</definedName>
    <definedName name="CEP">[17]Assumptions!#REF!</definedName>
    <definedName name="CEP_Amortization">'[16]JFJ-4 CEP Rate'!$A$28:$F$83</definedName>
    <definedName name="Choose_Prefs">[27]!Choose_Prefs</definedName>
    <definedName name="chrtContract">'[4]QRE Charts'!$C$274:$R$297</definedName>
    <definedName name="chrtSensitivity">'[4]QRE Charts'!$D$372:$O$375</definedName>
    <definedName name="chrtSensWages">'[4]Sens_QRE''s'!$C$118:$R$141</definedName>
    <definedName name="chrtSupplies">'[4]QRE Charts'!$C$248:$R$271</definedName>
    <definedName name="chrtTax">'[4]QRE Charts'!$C$327:$E$342</definedName>
    <definedName name="chrtTotalByCo">'[4]QRE Charts'!$C$300:$R$323</definedName>
    <definedName name="chrtTotalByType">'[4]QRE Charts'!$C$216:$R$219</definedName>
    <definedName name="chrtWages">'[4]QRE Charts'!$C$222:$R$245</definedName>
    <definedName name="ClaculationC">#REF!</definedName>
    <definedName name="ClaculationP">#REF!</definedName>
    <definedName name="ClaculationsC">#REF!</definedName>
    <definedName name="Class">#REF!</definedName>
    <definedName name="CLDR">#REF!</definedName>
    <definedName name="CoAreaDept">'[11]all EED O&amp;M BO data'!$AA$2:$AA$5000</definedName>
    <definedName name="COGEN">'[28]October Tariff kwh'!$A$1:$H$83</definedName>
    <definedName name="comed1">'[8]2005 CapEx (By VP By Dept) Budg'!$A$3:$P$377</definedName>
    <definedName name="comed2">'[8]2005 CapEx (By VP By Dept) Budg'!$A$3:$P$377</definedName>
    <definedName name="comedmfr2">'[8]2005 CapEx (By VP By Dept) Budg'!$A$3:$P$377</definedName>
    <definedName name="COMMONWEALTH_EDISON_COMPANY" localSheetId="0">#REF!</definedName>
    <definedName name="COMMONWEALTH_EDISON_COMPANY">#REF!</definedName>
    <definedName name="Company_Name">[4]Menu!$I$11</definedName>
    <definedName name="CompanyCount">'[4]QRE Charts'!$F$214</definedName>
    <definedName name="COMPAR_PRT_RNG">[4]Comparison!$B$8:$BT$170</definedName>
    <definedName name="complex">[29]lists!#REF!</definedName>
    <definedName name="Composite_Tax_Rate">[19]Assumptions!$E$31</definedName>
    <definedName name="Controls">[30]Controls!$A$3:$I$130</definedName>
    <definedName name="CONVERT_IT" localSheetId="0">#REF!</definedName>
    <definedName name="CONVERT_IT">#REF!</definedName>
    <definedName name="CONVERT_RTN" localSheetId="0">#REF!</definedName>
    <definedName name="CONVERT_RTN">#REF!</definedName>
    <definedName name="COUNTER">'[4]Macro Tables'!$C$21</definedName>
    <definedName name="credit_rate">[4]Print!$I$18</definedName>
    <definedName name="CREDIT1">'[31]One Year Credit Facility (2 (3)'!$A$23:$D$34</definedName>
    <definedName name="creditsummary">[4]Model!$A$180:$E$201</definedName>
    <definedName name="CUR_QRES">[4]Sens_QRE_Factor!$I$8:$R$98</definedName>
    <definedName name="CUR_QRES0.75">'[4]QRE Charts'!$E$367</definedName>
    <definedName name="CUR_QRES0.80">'[4]QRE Charts'!$F$367</definedName>
    <definedName name="CUR_QRES0.85">'[4]QRE Charts'!$G$367</definedName>
    <definedName name="CUR_QRES0.90">'[4]QRE Charts'!$H$367</definedName>
    <definedName name="CUR_QRES0.95">'[4]QRE Charts'!$I$367</definedName>
    <definedName name="CUR_QRES1.00">'[4]QRE Charts'!$J$367</definedName>
    <definedName name="CUR_QRES1.05">'[4]QRE Charts'!$K$367</definedName>
    <definedName name="CUR_QRES1.10">'[4]QRE Charts'!$L$367</definedName>
    <definedName name="CUR_QRES1.15">'[4]QRE Charts'!$M$367</definedName>
    <definedName name="CUR_QRES1.20">'[4]QRE Charts'!$N$367</definedName>
    <definedName name="CUR_QRES1.25">'[4]QRE Charts'!$O$367</definedName>
    <definedName name="CUR_SENS_FACT">#REF!</definedName>
    <definedName name="CURRENT_MESSAGE">#REF!</definedName>
    <definedName name="CurrentEndDate">[22]SETUP!#REF!</definedName>
    <definedName name="CurrPeriod">[32]Tables!$H$4</definedName>
    <definedName name="Curve_Date">[17]Assumptions!#REF!</definedName>
    <definedName name="cvxvvdxzv">'[8]2005 CapEx (By VP By Dept) Budg'!$A$3:$P$431</definedName>
    <definedName name="CYDR">'[33]change07 by plan'!$D$28</definedName>
    <definedName name="d" localSheetId="0" hidden="1">{#N/A,#N/A,TRUE,"TAXPROV";#N/A,#N/A,TRUE,"FLOWTHRU";#N/A,#N/A,TRUE,"SCHEDULE M'S";#N/A,#N/A,TRUE,"PLANT M'S";#N/A,#N/A,TRUE,"TAXJE"}</definedName>
    <definedName name="d" hidden="1">{#N/A,#N/A,TRUE,"TAXPROV";#N/A,#N/A,TRUE,"FLOWTHRU";#N/A,#N/A,TRUE,"SCHEDULE M'S";#N/A,#N/A,TRUE,"PLANT M'S";#N/A,#N/A,TRUE,"TAXJE"}</definedName>
    <definedName name="dadasdad">'[8]2005 CapEx (By VP By Dept) Budg'!$A$3:$P$431</definedName>
    <definedName name="dadasdas" localSheetId="0">#REF!</definedName>
    <definedName name="dadasdas">#REF!</definedName>
    <definedName name="dafklaf">'[8]2005 CapEx (By VP By Dept) Budg'!$A$3:$P$431</definedName>
    <definedName name="dasdadad">'[8]2005 CapEx (By VP By Dept) Budg'!$A$3:$P$431</definedName>
    <definedName name="DASDD" localSheetId="0"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sfasfdsdaf">'[8]2005 CapEx (By VP By Dept) Budg'!$A$3:$P$431</definedName>
    <definedName name="Data" localSheetId="0">#REF!</definedName>
    <definedName name="Data">#REF!</definedName>
    <definedName name="Data_Tbl">[26]Data_Tbl!$C$4:$H$221</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#REF!</definedName>
    <definedName name="DATA13">#REF!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base2">#REF!</definedName>
    <definedName name="DATAFEEDER">#N/A</definedName>
    <definedName name="DateNumber">[22]SETUP!#REF!</definedName>
    <definedName name="DateNumberCurrentPrior" localSheetId="0">#REF!</definedName>
    <definedName name="DateNumberCurrentPrior">#REF!</definedName>
    <definedName name="DateNumberQtrPrior" localSheetId="0">#REF!</definedName>
    <definedName name="DateNumberQtrPrior">#REF!</definedName>
    <definedName name="DateNumberYearEndPrior" localSheetId="0">#REF!</definedName>
    <definedName name="DateNumberYearEndPrior">#REF!</definedName>
    <definedName name="DateText">#REF!</definedName>
    <definedName name="dd" localSheetId="0"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dd">#REF!</definedName>
    <definedName name="ddfsaf" localSheetId="0"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dvsdfsdfsdf">'[8]2005 CapEx (By VP By Dept) Budg'!$A$3:$P$431</definedName>
    <definedName name="de" localSheetId="0">#REF!</definedName>
    <definedName name="de">#REF!</definedName>
    <definedName name="Dec" localSheetId="0">#REF!</definedName>
    <definedName name="Dec">#REF!</definedName>
    <definedName name="Decommissioning_Rate" localSheetId="0">#REF!</definedName>
    <definedName name="Decommissioning_Rate">#REF!</definedName>
    <definedName name="decpd">#REF!</definedName>
    <definedName name="Deferral_Interest_Rate">[19]Assumptions!$F$7</definedName>
    <definedName name="Deferral_Recovery">'[16]JFJ-1 Deferral Recovery Rate'!$A$15:$I$101</definedName>
    <definedName name="Deferral_Sec_Date">[16]Assumptions!$E$14</definedName>
    <definedName name="DELAWARE" localSheetId="0">#REF!</definedName>
    <definedName name="DELAWARE">#REF!</definedName>
    <definedName name="deplr" localSheetId="0">#REF!</definedName>
    <definedName name="deplr">#REF!</definedName>
    <definedName name="DeprateRL">[30]Depr_Lot!$A$1:$S$128</definedName>
    <definedName name="deytd" localSheetId="0">#REF!</definedName>
    <definedName name="deytd">#REF!</definedName>
    <definedName name="dfasdfsdfZX" localSheetId="0"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#REF!</definedName>
    <definedName name="dfdsfs" localSheetId="0"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gdfgh">#REF!</definedName>
    <definedName name="dfgsdgdsfgd">'[8]2005 CapEx (By VP By Dept) Budg'!$A$3:$P$431</definedName>
    <definedName name="dfsasdfasdfsdfasdfasdf" localSheetId="0"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#REF!</definedName>
    <definedName name="dfsdfsf">#REF!</definedName>
    <definedName name="dfsfasfasfs">#REF!</definedName>
    <definedName name="dfssdfsdfsdfsdf">'[8]2005 CapEx (By VP By Dept) Budg'!$A$3:$P$431</definedName>
    <definedName name="Discount10" localSheetId="0">#REF!</definedName>
    <definedName name="Discount10">#REF!</definedName>
    <definedName name="Discount11" localSheetId="0">#REF!</definedName>
    <definedName name="Discount11">#REF!</definedName>
    <definedName name="Discount12" localSheetId="0">#REF!</definedName>
    <definedName name="Discount12">#REF!</definedName>
    <definedName name="Discount13">#REF!</definedName>
    <definedName name="Discount14">#REF!</definedName>
    <definedName name="Discount15">#REF!</definedName>
    <definedName name="Discount2">#REF!</definedName>
    <definedName name="Discount3">#REF!</definedName>
    <definedName name="Discount4">#REF!</definedName>
    <definedName name="Discount5">#REF!</definedName>
    <definedName name="Discount6">#REF!</definedName>
    <definedName name="Discount7">#REF!</definedName>
    <definedName name="Discount8">#REF!</definedName>
    <definedName name="Discount9">#REF!</definedName>
    <definedName name="discrate">#REF!</definedName>
    <definedName name="Distribution_Rate_Adjustment">#REF!</definedName>
    <definedName name="DOIT">[4]Comparison!$CK$11</definedName>
    <definedName name="DP1875TB">#REF!</definedName>
    <definedName name="dpl">#REF!</definedName>
    <definedName name="dplcpd">#REF!</definedName>
    <definedName name="dplplr">#REF!</definedName>
    <definedName name="DPLYTD">#REF!</definedName>
    <definedName name="DR">#REF!</definedName>
    <definedName name="dsfasfsadfsdfsa">'[8]2005 CapEx (By VP By Dept) Budg'!$A$3:$P$431</definedName>
    <definedName name="dskdlss" localSheetId="0"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dy">[4]Print!$A$8</definedName>
    <definedName name="dyCR">[4]Print!$G$8</definedName>
    <definedName name="dyqre90">[4]Model!$I$90</definedName>
    <definedName name="dyqre91">[4]Model!$J$94</definedName>
    <definedName name="dyqre92">[4]Model!$K$98</definedName>
    <definedName name="dyqre93">[4]Model!$L$101</definedName>
    <definedName name="dyqre94">[4]Model!$M$105</definedName>
    <definedName name="dyqre95">[4]Model!$N$109</definedName>
    <definedName name="dyqre96">[4]Model!$O$113</definedName>
    <definedName name="dyqre97">[4]Model!$P$119</definedName>
    <definedName name="dyqre98">[4]Model!$Q$123</definedName>
    <definedName name="dyQW">[4]Print!$C$8</definedName>
    <definedName name="dyS">[4]Print!$E$8</definedName>
    <definedName name="E" localSheetId="0">#REF!</definedName>
    <definedName name="E">#REF!</definedName>
    <definedName name="eaewq" localSheetId="0">#REF!</definedName>
    <definedName name="eaewq">#REF!</definedName>
    <definedName name="EASTERN" localSheetId="0">#REF!</definedName>
    <definedName name="EASTERN">#REF!</definedName>
    <definedName name="edred" localSheetId="0"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D">#REF!</definedName>
    <definedName name="ELEC_CUST">#REF!</definedName>
    <definedName name="ELEC_REV">#REF!</definedName>
    <definedName name="ELEC_SALES">#REF!</definedName>
    <definedName name="empid">#REF!</definedName>
    <definedName name="EPG">#REF!</definedName>
    <definedName name="erser">#REF!</definedName>
    <definedName name="EssOptions">"1100000000130100_11-          00"</definedName>
    <definedName name="Estimated_Fair_Value">"fair_value"</definedName>
    <definedName name="EV__LASTREFTIME__" hidden="1">39853.6878472222</definedName>
    <definedName name="EXPENSES">#REF!</definedName>
    <definedName name="f" localSheetId="0" hidden="1">{#N/A,#N/A,TRUE,"TAXPROV";#N/A,#N/A,TRUE,"FLOWTHRU";#N/A,#N/A,TRUE,"SCHEDULE M'S";#N/A,#N/A,TRUE,"PLANT M'S";#N/A,#N/A,TRUE,"TAXJE"}</definedName>
    <definedName name="f" hidden="1">{#N/A,#N/A,TRUE,"TAXPROV";#N/A,#N/A,TRUE,"FLOWTHRU";#N/A,#N/A,TRUE,"SCHEDULE M'S";#N/A,#N/A,TRUE,"PLANT M'S";#N/A,#N/A,TRUE,"TAXJE"}</definedName>
    <definedName name="FACTOR_.75">'[4]Macro Tables'!$C$27</definedName>
    <definedName name="FACTOR_.80">'[4]Macro Tables'!$C$28</definedName>
    <definedName name="FACTOR_.85">'[4]Macro Tables'!$C$29</definedName>
    <definedName name="FACTOR_.90">'[4]Macro Tables'!$C$30</definedName>
    <definedName name="FACTOR_.95">'[4]Macro Tables'!$C$31</definedName>
    <definedName name="FACTOR_1">'[4]Macro Tables'!$C$32</definedName>
    <definedName name="FACTOR_1.05">'[4]Macro Tables'!$C$33</definedName>
    <definedName name="FACTOR_1.1">'[4]Macro Tables'!$C$34</definedName>
    <definedName name="FACTOR_1.15">'[4]Macro Tables'!$C$35</definedName>
    <definedName name="FACTOR_1.2">'[4]Macro Tables'!$C$36</definedName>
    <definedName name="FACTOR_1.25">'[4]Macro Tables'!$C$37</definedName>
    <definedName name="FACTOR_NAME">'[4]Macro Tables'!$C$22</definedName>
    <definedName name="FACTOR_TABLE">'[4]Macro Tables'!$B$27:$C$37</definedName>
    <definedName name="FACTOR_VALUE">'[4]Macro Tables'!$C$23</definedName>
    <definedName name="fafasfasf" localSheetId="0">#REF!</definedName>
    <definedName name="fafasfasf">#REF!</definedName>
    <definedName name="fair_value">[34]Assumptions!$B$14</definedName>
    <definedName name="fasdfsadf">'[8]2005 CapEx (By VP By Dept) Budg'!$A$3:$P$431</definedName>
    <definedName name="fasfsafasf" localSheetId="0">#REF!</definedName>
    <definedName name="fasfsafasf">#REF!</definedName>
    <definedName name="fasfsdf" localSheetId="0">#REF!</definedName>
    <definedName name="fasfsdf">#REF!</definedName>
    <definedName name="fasfsfsdfsf">'[8]2005 CapEx (By VP By Dept) Budg'!$A$3:$P$431</definedName>
    <definedName name="FB_CUSTOMERS" localSheetId="0">#REF!</definedName>
    <definedName name="FB_CUSTOMERS">#REF!</definedName>
    <definedName name="FB_LINES" localSheetId="0">#REF!</definedName>
    <definedName name="FB_LINES">#REF!</definedName>
    <definedName name="fdfsdfsdfsdfsdfsd">'[8]2005 CapEx (By VP By Dept) Budg'!$A$3:$P$431</definedName>
    <definedName name="FDSDFSF" localSheetId="0"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dsfafs">#REF!</definedName>
    <definedName name="Feb">#REF!</definedName>
    <definedName name="Federal_Tax_Rate">[16]Assumptions!$E$28</definedName>
    <definedName name="FERC.ICC" localSheetId="0">#REF!</definedName>
    <definedName name="FERC.ICC">#REF!</definedName>
    <definedName name="ff" localSheetId="0"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0"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fff">'[8]2005 CapEx (By VP By Dept) Budg'!$A$3:$P$431</definedName>
    <definedName name="fghjghjfgjf" localSheetId="0"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gsdfgdfgdfhdhdf">'[8]2005 CapEx (By VP By Dept) Budg'!$A$3:$P$431</definedName>
    <definedName name="final" localSheetId="0">#REF!</definedName>
    <definedName name="final">#REF!</definedName>
    <definedName name="Finance3">'[11]all EED O&amp;M BO data'!$AF$2:$AF$5000</definedName>
    <definedName name="FinanceOther">'[11]all EED O&amp;M BO data'!$AC$2:$AC$5000</definedName>
    <definedName name="FinDate" localSheetId="0">#REF!</definedName>
    <definedName name="FinDate">#REF!</definedName>
    <definedName name="findate2">[5]Sheet2!$Q$2:$Q$17</definedName>
    <definedName name="findate3">[5]Sheet2!$Q$2:$Q$17</definedName>
    <definedName name="fjriesmd">#REF!</definedName>
    <definedName name="fnklsdfjklsgf">'[8]2005 CapEx (By VP By Dept) Budg'!$A$3:$P$431</definedName>
    <definedName name="Forecast">[13]Update!$B$5</definedName>
    <definedName name="FORMULA" localSheetId="0">#REF!+#REF!+#REF!</definedName>
    <definedName name="FORMULA">#REF!+#REF!+#REF!</definedName>
    <definedName name="Fossil_BGS">[20]Assumptions!$E$38</definedName>
    <definedName name="Fossil_Divest">[19]Assumptions!#REF!</definedName>
    <definedName name="Fossil_Secur_Date">[16]Assumptions!$E$12</definedName>
    <definedName name="fsafsfsaf" localSheetId="0">#REF!</definedName>
    <definedName name="fsafsfsaf">#REF!</definedName>
    <definedName name="fsdafasf" localSheetId="0"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#REF!</definedName>
    <definedName name="fsdfaf">#REF!</definedName>
    <definedName name="fsdfas">#REF!</definedName>
    <definedName name="fsdfsd">#REF!</definedName>
    <definedName name="fsdfsdfas">#REF!</definedName>
    <definedName name="fsdfsdfsfs">#REF!</definedName>
    <definedName name="fsdfsfs" localSheetId="0"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0"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#REF!</definedName>
    <definedName name="fsdfwer">#REF!</definedName>
    <definedName name="fsfsafkskfsf">#REF!</definedName>
    <definedName name="fsfsafs">#REF!</definedName>
    <definedName name="fsfsdfsafs">'[8]2005 CapEx (By VP By Dept) Budg'!$A$3:$P$431</definedName>
    <definedName name="fsfsfsafasf" localSheetId="0"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ull_credit">[4]Print!$I$20</definedName>
    <definedName name="FunctionTotals">[30]Controls!$P$4:$R$8</definedName>
    <definedName name="fwrwerwerwerwer" localSheetId="0"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4D">#REF!</definedName>
    <definedName name="g" localSheetId="0" hidden="1">{#N/A,#N/A,FALSE,"O&amp;M by processes";#N/A,#N/A,FALSE,"Elec Act vs Bud";#N/A,#N/A,FALSE,"G&amp;A";#N/A,#N/A,FALSE,"BGS";#N/A,#N/A,FALSE,"Res Cost"}</definedName>
    <definedName name="g" hidden="1">{#N/A,#N/A,FALSE,"O&amp;M by processes";#N/A,#N/A,FALSE,"Elec Act vs Bud";#N/A,#N/A,FALSE,"G&amp;A";#N/A,#N/A,FALSE,"BGS";#N/A,#N/A,FALSE,"Res Cost"}</definedName>
    <definedName name="GAM83M">#REF!</definedName>
    <definedName name="gas">#REF!</definedName>
    <definedName name="gasytd">#REF!</definedName>
    <definedName name="gatt">[35]TPACT!$B$5:$B$141</definedName>
    <definedName name="gattmale">[35]TPACT!$B$146:$B$282</definedName>
    <definedName name="gdfgdgdg" localSheetId="0">#REF!</definedName>
    <definedName name="gdfgdgdg">#REF!</definedName>
    <definedName name="gdfgsdfgsdfgsadf">'[8]2005 CapEx (By VP By Dept) Budg'!$A$3:$P$431</definedName>
    <definedName name="GENERAL_HELP" localSheetId="0">#REF!</definedName>
    <definedName name="GENERAL_HELP">#REF!</definedName>
    <definedName name="gfdfxdf">'[8]2005 CapEx (By VP By Dept) Budg'!$A$3:$P$431</definedName>
    <definedName name="gfdsgsdgfsd">'[8]2005 CapEx (By VP By Dept) Budg'!$A$3:$P$431</definedName>
    <definedName name="gfhfhfdhg" localSheetId="0">#REF!</definedName>
    <definedName name="gfhfhfdhg">#REF!</definedName>
    <definedName name="gg" localSheetId="0" hidden="1">{#N/A,#N/A,FALSE,"O&amp;M by processes";#N/A,#N/A,FALSE,"Elec Act vs Bud";#N/A,#N/A,FALSE,"G&amp;A";#N/A,#N/A,FALSE,"BGS";#N/A,#N/A,FALSE,"Res Cost"}</definedName>
    <definedName name="gg" hidden="1">{#N/A,#N/A,FALSE,"O&amp;M by processes";#N/A,#N/A,FALSE,"Elec Act vs Bud";#N/A,#N/A,FALSE,"G&amp;A";#N/A,#N/A,FALSE,"BGS";#N/A,#N/A,FALSE,"Res Cost"}</definedName>
    <definedName name="ghjgfj" localSheetId="0"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0"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0"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0"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oaway" localSheetId="0" hidden="1">{#N/A,#N/A,TRUE,"TAXPROV";#N/A,#N/A,TRUE,"FLOWTHRU";#N/A,#N/A,TRUE,"SCHEDULE M'S";#N/A,#N/A,TRUE,"PLANT M'S";#N/A,#N/A,TRUE,"TAXJE"}</definedName>
    <definedName name="goaway" hidden="1">{#N/A,#N/A,TRUE,"TAXPROV";#N/A,#N/A,TRUE,"FLOWTHRU";#N/A,#N/A,TRUE,"SCHEDULE M'S";#N/A,#N/A,TRUE,"PLANT M'S";#N/A,#N/A,TRUE,"TAXJE"}</definedName>
    <definedName name="GPURS">#REF!</definedName>
    <definedName name="GR_PRT_RANGE">[4]Gross_Rec!$A$8:$R$52</definedName>
    <definedName name="GRAPH_SELECT" localSheetId="0">#REF!</definedName>
    <definedName name="GRAPH_SELECT">#REF!</definedName>
    <definedName name="GRAPH_TABLE" localSheetId="0">#REF!</definedName>
    <definedName name="GRAPH_TABLE">#REF!</definedName>
    <definedName name="grec8490">[4]Model!$I$50</definedName>
    <definedName name="grec8491">[4]Model!$J$50</definedName>
    <definedName name="grec8492">[4]Model!$K$50</definedName>
    <definedName name="grec8493">[4]Model!$L$50</definedName>
    <definedName name="grec8494">[4]Model!$M$50</definedName>
    <definedName name="grec8495">[4]Model!$N$50</definedName>
    <definedName name="grec8496">[4]Model!$O$50</definedName>
    <definedName name="grec8497">[4]Model!$P$50</definedName>
    <definedName name="grec8498">[4]Model!$Q$50</definedName>
    <definedName name="grec8590">[4]Model!$I$51</definedName>
    <definedName name="grec8591">[4]Model!$J$51</definedName>
    <definedName name="grec8592">[4]Model!$K$51</definedName>
    <definedName name="grec8593">[4]Model!$L$51</definedName>
    <definedName name="grec8594">[4]Model!$M$51</definedName>
    <definedName name="grec8595">[4]Model!$N$51</definedName>
    <definedName name="grec8596">[4]Model!$O$51</definedName>
    <definedName name="grec8597">[4]Model!$P$51</definedName>
    <definedName name="grec8598">[4]Model!$Q$51</definedName>
    <definedName name="grec8690">[4]Model!$I$52</definedName>
    <definedName name="grec8691">[4]Model!$J$52</definedName>
    <definedName name="grec8692">[4]Model!$K$52</definedName>
    <definedName name="grec8693">[4]Model!$L$52</definedName>
    <definedName name="grec8694">[4]Model!$M$52</definedName>
    <definedName name="grec8695">[4]Model!$N$52</definedName>
    <definedName name="grec8696">[4]Model!$O$52</definedName>
    <definedName name="grec8697">[4]Model!$P$52</definedName>
    <definedName name="grec8698">[4]Model!$Q$52</definedName>
    <definedName name="grec8790">[4]Model!$I$53</definedName>
    <definedName name="grec8791">[4]Model!$J$53</definedName>
    <definedName name="grec8792">[4]Model!$K$53</definedName>
    <definedName name="grec8793">[4]Model!$L$53</definedName>
    <definedName name="grec8794">[4]Model!$M$53</definedName>
    <definedName name="grec8795">[4]Model!$N$53</definedName>
    <definedName name="grec8796">[4]Model!$O$53</definedName>
    <definedName name="grec8797">[4]Model!$P$53</definedName>
    <definedName name="grec8798">[4]Model!$Q$53</definedName>
    <definedName name="grec8890">[4]Model!$I$54</definedName>
    <definedName name="grec8891">[4]Model!$J$54</definedName>
    <definedName name="grec8892">[4]Model!$K$54</definedName>
    <definedName name="grec8893">[4]Model!$L$54</definedName>
    <definedName name="grec8894">[4]Model!$M$54</definedName>
    <definedName name="grec8895">[4]Model!$N$54</definedName>
    <definedName name="grec8896">[4]Model!$O$54</definedName>
    <definedName name="grec8897">[4]Model!$P$54</definedName>
    <definedName name="grec8898">[4]Model!$Q$54</definedName>
    <definedName name="gross_rec_caution">[4]Gross_Rec!$A$51:$IV$52</definedName>
    <definedName name="GRS">[4]Gross_Rec!$B$2:$M$49</definedName>
    <definedName name="grtm1">[4]Print!$I$32</definedName>
    <definedName name="grtm2">[4]Print!$G$32</definedName>
    <definedName name="grtm3">[4]Print!$E$32</definedName>
    <definedName name="grtm4">[4]Print!$C$32</definedName>
    <definedName name="GVKey">""</definedName>
    <definedName name="h" localSheetId="0"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ELP_LOCATOR">#REF!</definedName>
    <definedName name="hh" localSheetId="0"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hifgfcgfcg">#REF!</definedName>
    <definedName name="hjfjghjgfjgj" localSheetId="0"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0"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IDN">#REF!</definedName>
    <definedName name="ImplementDate">#REF!</definedName>
    <definedName name="Include_OTRA_Kwhrs">[36]Inputs!#REF!</definedName>
    <definedName name="INCOME" localSheetId="0">#REF!</definedName>
    <definedName name="INCOME">#REF!</definedName>
    <definedName name="INSERTRANGE" localSheetId="0">#REF!</definedName>
    <definedName name="INSERTRANGE">#REF!</definedName>
    <definedName name="Instrat3">[5]Sheet2!$P$1:$P$4</definedName>
    <definedName name="int.rate">#REF!</definedName>
    <definedName name="interest">#REF!</definedName>
    <definedName name="interestrate">#REF!</definedName>
    <definedName name="INTSALE">#REF!</definedName>
    <definedName name="invdtrat">[5]Sheet2!$P$1:$P$4</definedName>
    <definedName name="InvStrat">[37]Sheet2!$P$1:$P$4</definedName>
    <definedName name="InvStratif" localSheetId="0">#REF!</definedName>
    <definedName name="InvStratif">#REF!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CM">#REF!</definedName>
    <definedName name="ISTITLE">#REF!</definedName>
    <definedName name="ISYTD">#REF!</definedName>
    <definedName name="IT">#REF!</definedName>
    <definedName name="IT_VP_name">#REF!</definedName>
    <definedName name="ITBU">#REF!</definedName>
    <definedName name="ITVP1">[38]Sheet2!$O$1:$O$6</definedName>
    <definedName name="ITVP2">[5]Sheet2!$O$1:$O$6</definedName>
    <definedName name="itvp5">[5]Sheet2!$O$1:$O$6</definedName>
    <definedName name="Jan_03">#REF!</definedName>
    <definedName name="jeff" localSheetId="0"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0"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hyfesg">'[8]2005 CapEx (By VP By Dept) Budg'!$A$3:$P$431</definedName>
    <definedName name="John" localSheetId="0"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ul">#REF!</definedName>
    <definedName name="Jun">#REF!</definedName>
    <definedName name="k" localSheetId="0"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_kWh">#REF!</definedName>
    <definedName name="K1_AdminCredit_1of3">#REF!</definedName>
    <definedName name="K10_TransmissionCalculated">#REF!</definedName>
    <definedName name="K2_AdminCredit_2of3">#REF!</definedName>
    <definedName name="K3_AdminCredit_3of3">#REF!</definedName>
    <definedName name="K4_AdminCreditCalculated">#REF!</definedName>
    <definedName name="K5_Return">#REF!</definedName>
    <definedName name="K6_ProcurementCost_Suppliers">#REF!</definedName>
    <definedName name="K7_IncProcurementCost_Supplier">#REF!</definedName>
    <definedName name="K8_IncGenerationRevenue">#REF!</definedName>
    <definedName name="K9_Transmission">#REF!</definedName>
    <definedName name="ket_it">[5]Sheet2!$AE$1:$AE$24</definedName>
    <definedName name="Key_Stakeholder_Interface">#REF!</definedName>
    <definedName name="KeyCon_Close_Date">[16]Assumptions!$E$17</definedName>
    <definedName name="KeyE1" localSheetId="0" hidden="1">#REF!</definedName>
    <definedName name="KeyE1" hidden="1">#REF!</definedName>
    <definedName name="kk" localSheetId="0"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0"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WH">'[39]UNBILLED KWH'!$A$1:$H$54</definedName>
    <definedName name="lastrow">'[4]QRE''s'!$A$95:$IV$95</definedName>
    <definedName name="limcount" hidden="1">1</definedName>
    <definedName name="Line_No.">#REF!</definedName>
    <definedName name="LMP">'[20]2002 - 2007 BGS FP Costs'!$B$150:$Q$245</definedName>
    <definedName name="LOAD_EST_PE">'[40]Load Estimates'!$A$2:$E$1006</definedName>
    <definedName name="LOAD_EST_PECCES">'[41]Load Estimates'!$O$1:$S$1000</definedName>
    <definedName name="LOAD_EST_PENYPA">'[42]Load Estimates'!$Z$1:$AC$1002</definedName>
    <definedName name="LOAD_EST_PERESH">'[43]Load Estimates'!$F$2:$I$1005</definedName>
    <definedName name="loilpuioopy" localSheetId="0"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NGBUDESCR">#REF!</definedName>
    <definedName name="LOOP_1">#REF!</definedName>
    <definedName name="LOOP_2">#REF!</definedName>
    <definedName name="LOOP_3">#REF!</definedName>
    <definedName name="LRP_Data">#REF!</definedName>
    <definedName name="lsdfj" localSheetId="0"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0"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0"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0"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0"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0"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0"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cro3">#REF!</definedName>
    <definedName name="Macro4">#REF!</definedName>
    <definedName name="Macro5">#REF!</definedName>
    <definedName name="MACROS">#REF!</definedName>
    <definedName name="Mar">#REF!</definedName>
    <definedName name="March_02">#REF!</definedName>
    <definedName name="May">#REF!</definedName>
    <definedName name="md">#REF!</definedName>
    <definedName name="mdcpd">#REF!</definedName>
    <definedName name="mdplr">'[44]DE PLR'!#REF!</definedName>
    <definedName name="mdytd" localSheetId="0">#REF!</definedName>
    <definedName name="mdytd">#REF!</definedName>
    <definedName name="Meet_Cost_Commitments" localSheetId="0">#REF!</definedName>
    <definedName name="Meet_Cost_Commitments">#REF!</definedName>
    <definedName name="Meet_Production_Commitments" localSheetId="0">#REF!</definedName>
    <definedName name="Meet_Production_Commitments">#REF!</definedName>
    <definedName name="mgmfeparg">'[8]2005 CapEx (By VP By Dept) Budg'!$A$3:$P$431</definedName>
    <definedName name="MILESTONES_1" localSheetId="0">#REF!</definedName>
    <definedName name="MILESTONES_1">#REF!</definedName>
    <definedName name="MILESTONES_2" localSheetId="0">#REF!</definedName>
    <definedName name="MILESTONES_2">#REF!</definedName>
    <definedName name="modelgrheader">[4]Model!$A$3</definedName>
    <definedName name="modelqreheader">[4]Model!$A$78</definedName>
    <definedName name="MonAct">'[11]all EED O&amp;M BO data'!$E$2:$E$5000</definedName>
    <definedName name="MonBudVar">'[11]all EED O&amp;M BO data'!$H$2:$H$5000</definedName>
    <definedName name="MonQtrVar">'[11]all EED O&amp;M BO data'!$I$2:$I$5000</definedName>
    <definedName name="MONTH" localSheetId="0">#REF!</definedName>
    <definedName name="MONTH">#REF!</definedName>
    <definedName name="month1">'[45]Monthly Bill Data'!$AC$49:$AO$102</definedName>
    <definedName name="MonthlyCFBUD" localSheetId="0">#REF!</definedName>
    <definedName name="MonthlyCFBUD">#REF!</definedName>
    <definedName name="MonthlyCFLE" localSheetId="0">#REF!</definedName>
    <definedName name="MonthlyCFLE">#REF!</definedName>
    <definedName name="MTC">'[19]MTC Deferral'!$P$6:$CI$169</definedName>
    <definedName name="MTC_Type" localSheetId="0">#REF!</definedName>
    <definedName name="MTC_Type">#REF!</definedName>
    <definedName name="NDCA" localSheetId="0">#REF!</definedName>
    <definedName name="NDCA">#REF!</definedName>
    <definedName name="New" localSheetId="0">#REF!</definedName>
    <definedName name="New">#REF!</definedName>
    <definedName name="new_98_IS">#REF!,#REF!,#REF!</definedName>
    <definedName name="New_99_IS">'[46]2nd qtr 2000'!$A$1:$I$58,'[46]2nd qtr 2000'!$K$1:$T$58,'[46]2nd qtr 2000'!$V$1:$AI$58</definedName>
    <definedName name="New_BS" localSheetId="0">#REF!,#REF!,#REF!</definedName>
    <definedName name="New_BS">#REF!,#REF!,#REF!</definedName>
    <definedName name="NEXT_STEP">[4]Comparison!$CK$14</definedName>
    <definedName name="nono" localSheetId="0" hidden="1">{#N/A,#N/A,FALSE,"O&amp;M by processes";#N/A,#N/A,FALSE,"Elec Act vs Bud";#N/A,#N/A,FALSE,"G&amp;A";#N/A,#N/A,FALSE,"BGS";#N/A,#N/A,FALSE,"Res Cost"}</definedName>
    <definedName name="nono" hidden="1">{#N/A,#N/A,FALSE,"O&amp;M by processes";#N/A,#N/A,FALSE,"Elec Act vs Bud";#N/A,#N/A,FALSE,"G&amp;A";#N/A,#N/A,FALSE,"BGS";#N/A,#N/A,FALSE,"Res Cost"}</definedName>
    <definedName name="NORTHEAST">#REF!</definedName>
    <definedName name="NORTHWEST">#REF!</definedName>
    <definedName name="Nov">#REF!</definedName>
    <definedName name="Nuclear">#REF!</definedName>
    <definedName name="NUGS">'[19]NNC Deferral'!$AD$7:$CW$42</definedName>
    <definedName name="NvsASD">"V2001-08-31"</definedName>
    <definedName name="NvsAutoDrillOk">"VN"</definedName>
    <definedName name="NvsElapsedTime">0.0000724537021596916</definedName>
    <definedName name="NvsEndTime">36817.4223792824</definedName>
    <definedName name="NvsInstSpec">"%,LACTUALS,SBAL,R,FACCOUNT,V275900,FBUSINESS_UNIT,V10200"</definedName>
    <definedName name="NvsLayoutType">"M3"</definedName>
    <definedName name="NvsNplSpec">"%,XZF.ACCOUNT.PSDetail"</definedName>
    <definedName name="NvsPanelEffdt">"V1995-01-01"</definedName>
    <definedName name="NvsPanelSetid">"VMFG"</definedName>
    <definedName name="NvsParentRef">[47]Sheet1!$E$266</definedName>
    <definedName name="NvsReqBU">"V10200"</definedName>
    <definedName name="NvsReqBUOnly">"VN"</definedName>
    <definedName name="NvsTransLed">"VN"</definedName>
    <definedName name="NvsTreeASD">"V2001-08-31"</definedName>
    <definedName name="NvsValTbl.ACCOUNT">"GL_ACCOUNT_TBL"</definedName>
    <definedName name="NvsValTbl.BUSINESS_UNIT">"BUS_UNIT_TBL_GL"</definedName>
    <definedName name="NvsValTbl.CURRENCY_CD">"CURRENCY_CD_TBL"</definedName>
    <definedName name="OBRADR">#REF!</definedName>
    <definedName name="Oct">#REF!</definedName>
    <definedName name="OMA">'[24]ACT O M'!$D$7:$T$32</definedName>
    <definedName name="OMB">'[24]BUD O M'!$D$7:$O$32</definedName>
    <definedName name="one" localSheetId="0">#REF!,#REF!,#REF!</definedName>
    <definedName name="one">#REF!,#REF!,#REF!</definedName>
    <definedName name="ONM" localSheetId="0">#REF!</definedName>
    <definedName name="ONM">#REF!</definedName>
    <definedName name="Operational_Excellence_">#REF!</definedName>
    <definedName name="Operational_Execution_And_Safety">#REF!</definedName>
    <definedName name="OPR">'[10]PECO Bal Sht'!#REF!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GE4">#REF!</definedName>
    <definedName name="PAGE5">#REF!</definedName>
    <definedName name="PAGE6">#REF!</definedName>
    <definedName name="PAGE7">#REF!</definedName>
    <definedName name="PAGE8">#REF!</definedName>
    <definedName name="PAGEA">#REF!</definedName>
    <definedName name="PAGEC">#REF!</definedName>
    <definedName name="PAGEE">#REF!</definedName>
    <definedName name="pe">[4]Print!$A$2</definedName>
    <definedName name="PECO_LABS_FUELS_ALL" localSheetId="0">#REF!</definedName>
    <definedName name="PECO_LABS_FUELS_ALL">#REF!</definedName>
    <definedName name="peco1">'[8]2005 CapEx (By VP By Dept) Budg'!$A$3:$P$382</definedName>
    <definedName name="peco2">'[8]2005 CapEx (By VP By Dept) Budg'!$A$3:$P$382</definedName>
    <definedName name="pecobod45">'[8]2005 CapEx (By VP By Dept) Budg'!$A$3:$P$383</definedName>
    <definedName name="pecomfr3">'[8]2005 CapEx (By VP By Dept) Budg'!$A$3:$P$382</definedName>
    <definedName name="pension" localSheetId="0">#REF!</definedName>
    <definedName name="pension">#REF!</definedName>
    <definedName name="PER" localSheetId="0">#REF!</definedName>
    <definedName name="PER">#REF!</definedName>
    <definedName name="Perf_Ratings">'[48]Perf Ratings'!$A$8:$IV$18</definedName>
    <definedName name="PGCOUNT">'[10]PECO Bal Sht'!#REF!</definedName>
    <definedName name="pgm_pri1">[5]Sheet2!$AF$1:$AF$3</definedName>
    <definedName name="Phase">'[4]Macro Tables'!$F$21</definedName>
    <definedName name="PHASE_HELP" localSheetId="0">#REF!</definedName>
    <definedName name="PHASE_HELP">#REF!</definedName>
    <definedName name="PLACE_HOLD" localSheetId="0">#REF!</definedName>
    <definedName name="PLACE_HOLD">#REF!</definedName>
    <definedName name="PostTransReturn">[20]Assumptions!$D$58</definedName>
    <definedName name="POTOMAC_ELECTRIC_POWER_COMPANY" localSheetId="0">#REF!</definedName>
    <definedName name="POTOMAC_ELECTRIC_POWER_COMPANY">#REF!</definedName>
    <definedName name="PowerTeam" localSheetId="0">#REF!</definedName>
    <definedName name="PowerTeam">#REF!</definedName>
    <definedName name="PPACOST" localSheetId="0">'[17]BGS Deferral'!#REF!</definedName>
    <definedName name="PPACOST">'[17]BGS Deferral'!#REF!</definedName>
    <definedName name="PreTaxDebt">[16]Assumptions!$F$60</definedName>
    <definedName name="Pri" localSheetId="0">#REF!</definedName>
    <definedName name="Pri">#REF!</definedName>
    <definedName name="Print_98_IS" localSheetId="0">#REF!,#REF!,#REF!</definedName>
    <definedName name="Print_98_IS">#REF!,#REF!,#REF!</definedName>
    <definedName name="Print_99_IS">'[46]2nd qtr 2000'!$D$1:$I$58,'[46]2nd qtr 2000'!$N$1:$T$58,'[46]2nd qtr 2000'!$AA$1:$AH$57</definedName>
    <definedName name="_xlnm.Print_Area" localSheetId="8">' Ap C - Qtr Electric LMI'!$A$1:$I$29</definedName>
    <definedName name="_xlnm.Print_Area" localSheetId="9">' Ap D - Qtr Electric Business'!$A$1:$I$22</definedName>
    <definedName name="_xlnm.Print_Area" localSheetId="0">#REF!</definedName>
    <definedName name="_xlnm.Print_Area" localSheetId="7">'Ap B - Qtr Electric Master'!$A$1:$R$43</definedName>
    <definedName name="_xlnm.Print_Area" localSheetId="10">'Ap E - NJ CEA Benchmarks'!$A$1:$O$17</definedName>
    <definedName name="_xlnm.Print_Area">#REF!</definedName>
    <definedName name="Print_Area_MI" localSheetId="0">#REF!</definedName>
    <definedName name="Print_Area_MI">#REF!</definedName>
    <definedName name="print_area03" localSheetId="0">#REF!</definedName>
    <definedName name="print_area03">#REF!</definedName>
    <definedName name="Print_Area1">#REF!</definedName>
    <definedName name="Print_BS" localSheetId="0">#REF!,#REF!,#REF!</definedName>
    <definedName name="Print_BS">#REF!,#REF!,#REF!</definedName>
    <definedName name="PRINT_SET_UP">#REF!</definedName>
    <definedName name="Print_TFI_use">'[49]TFI use'!$A$1:$P$40,'[49]TFI use'!$A$42:$P$65,'[49]TFI use'!$A$67:$R$84</definedName>
    <definedName name="_xlnm.Print_Titles">#N/A</definedName>
    <definedName name="Prior" localSheetId="0">#REF!</definedName>
    <definedName name="Prior">#REF!</definedName>
    <definedName name="PriorQTREnd" localSheetId="0">[22]SETUP!#REF!</definedName>
    <definedName name="PriorQTREnd">[22]SETUP!#REF!</definedName>
    <definedName name="Profitability_" localSheetId="0">#REF!</definedName>
    <definedName name="Profitability_">#REF!</definedName>
    <definedName name="PRT_COMPARE" localSheetId="0">#REF!</definedName>
    <definedName name="PRT_COMPARE">#REF!</definedName>
    <definedName name="PRT_GR" localSheetId="0">#REF!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Y_ytd">[9]Administrator!$I$60</definedName>
    <definedName name="pymonth">[22]SETUP!$C$26</definedName>
    <definedName name="q" localSheetId="0">#REF!</definedName>
    <definedName name="q">#REF!</definedName>
    <definedName name="QES">'[4]Gross_Rec:QRE''s'!$B$53:$N$112</definedName>
    <definedName name="qre">'[50]IDR 15'!$A$1:$H$214</definedName>
    <definedName name="QRE_HELP" localSheetId="0">#REF!</definedName>
    <definedName name="QRE_HELP">#REF!</definedName>
    <definedName name="QRE_MARGINS" localSheetId="0">#REF!</definedName>
    <definedName name="QRE_MARGINS">#REF!</definedName>
    <definedName name="QRE_SUMMARY">'[4]QRE''s'!$A$7:$R$102</definedName>
    <definedName name="qsqe">#REF!</definedName>
    <definedName name="QuarterEndDate">[22]SETUP!#REF!</definedName>
    <definedName name="Range1">'[31]One Year Credit Facility'!$A$23:$D$34</definedName>
    <definedName name="Range10" localSheetId="0">#REF!</definedName>
    <definedName name="Range10">#REF!</definedName>
    <definedName name="Range11" localSheetId="0">#REF!</definedName>
    <definedName name="Range11">#REF!</definedName>
    <definedName name="Range12" localSheetId="0">#REF!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'[31]Three Year Credit Facility'!$A$22:$D$57</definedName>
    <definedName name="Range30" localSheetId="0">#REF!</definedName>
    <definedName name="Range30">#REF!</definedName>
    <definedName name="Range31" localSheetId="0">#REF!</definedName>
    <definedName name="Range31">#REF!</definedName>
    <definedName name="Range32" localSheetId="0">#REF!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5">#REF!</definedName>
    <definedName name="Range6">#REF!</definedName>
    <definedName name="Range7">#REF!</definedName>
    <definedName name="Range8">#REF!</definedName>
    <definedName name="Range9">#REF!</definedName>
    <definedName name="Rate_Cap_Off">[16]Assumptions!$E$33</definedName>
    <definedName name="Rate_Reduction_Factor" localSheetId="0">#REF!</definedName>
    <definedName name="Rate_Reduction_Factor">#REF!</definedName>
    <definedName name="rate90">[4]Model!$I$175</definedName>
    <definedName name="rate91">[4]Model!$J$175</definedName>
    <definedName name="rate92">[4]Model!$K$175</definedName>
    <definedName name="rate93">[4]Model!$L$175</definedName>
    <definedName name="rate94">[4]Model!$M$175</definedName>
    <definedName name="rate95">[4]Model!$N$175</definedName>
    <definedName name="rate96">[4]Model!$O$175</definedName>
    <definedName name="rate97">[4]Model!$P$175</definedName>
    <definedName name="rate98">[4]Model!$Q$175</definedName>
    <definedName name="RBU">'[10]PECO Bal Sht'!#REF!</definedName>
    <definedName name="reawreqw" localSheetId="0"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_xlnm.Recorder">#REF!</definedName>
    <definedName name="Recover">[19]Assumptions!$E$36</definedName>
    <definedName name="reduced_credit">[4]Print!$I$22</definedName>
    <definedName name="reduced_credit_caption">[4]Print!$G$22</definedName>
    <definedName name="Refresh_Report">[27]!Refresh_Report</definedName>
    <definedName name="REPORT_SELECT" localSheetId="0">#REF!</definedName>
    <definedName name="REPORT_SELECT">#REF!</definedName>
    <definedName name="REPORT_TABLE" localSheetId="0">#REF!</definedName>
    <definedName name="REPORT_TABLE">#REF!</definedName>
    <definedName name="ReportingDate">[21]SETUP!$C$11</definedName>
    <definedName name="RESALE_CUSTOMERS" localSheetId="0">#REF!</definedName>
    <definedName name="RESALE_CUSTOMERS">#REF!</definedName>
    <definedName name="RESALE_LINES" localSheetId="0">#REF!</definedName>
    <definedName name="RESALE_LINES">#REF!</definedName>
    <definedName name="RESET_SENS_FACT" localSheetId="0">#REF!</definedName>
    <definedName name="RESET_SENS_FACT">#REF!</definedName>
    <definedName name="Restructure_Amort">'[16]Restructuring Amort.'!$A$7:$V$105</definedName>
    <definedName name="RETURN" localSheetId="0">#REF!</definedName>
    <definedName name="RETURN">#REF!</definedName>
    <definedName name="RID" localSheetId="0">#REF!</definedName>
    <definedName name="RID">#REF!</definedName>
    <definedName name="ROA" localSheetId="0">#REF!</definedName>
    <definedName name="ROA">#REF!</definedName>
    <definedName name="RPA">[19]Assumptions!$E$46</definedName>
    <definedName name="rwrw" localSheetId="0">#REF!</definedName>
    <definedName name="rwrw">#REF!</definedName>
    <definedName name="saaaagd">'[8]2005 CapEx (By VP By Dept) Budg'!$A$3:$P$431</definedName>
    <definedName name="saaanghvi21">'[8]2005 CapEx (By VP By Dept) Budg'!$A$3:$P$431</definedName>
    <definedName name="safasdfsad">'[8]2005 CapEx (By VP By Dept) Budg'!$A$3:$P$431</definedName>
    <definedName name="Safety_Workforce_Eff_" localSheetId="0">#REF!</definedName>
    <definedName name="Safety_Workforce_Eff_">#REF!</definedName>
    <definedName name="saff">'[8]2005 CapEx (By VP By Dept) Budg'!$A$3:$P$431</definedName>
    <definedName name="safsafs" localSheetId="0">#REF!</definedName>
    <definedName name="safsafs">#REF!</definedName>
    <definedName name="safsfsad" localSheetId="0">#REF!</definedName>
    <definedName name="safsfsad">#REF!</definedName>
    <definedName name="safsgfsdf">'[8]2005 CapEx (By VP By Dept) Budg'!$A$3:$P$431</definedName>
    <definedName name="Sales">'[16]ACE 25 Year Sales Forecast'!$A$90:$EA$100</definedName>
    <definedName name="salkgasgs">'[8]2005 CapEx (By VP By Dept) Budg'!$A$3:$P$431</definedName>
    <definedName name="sanahgsg">'[8]2005 CapEx (By VP By Dept) Budg'!$A$3:$P$431</definedName>
    <definedName name="sangg">'[8]2005 CapEx (By VP By Dept) Budg'!$A$3:$P$431</definedName>
    <definedName name="sangh" localSheetId="0">#REF!</definedName>
    <definedName name="sangh">#REF!</definedName>
    <definedName name="sanghiii">'[8]2005 CapEx (By VP By Dept) Budg'!$A$3:$P$431</definedName>
    <definedName name="sanghvi">'[8]2005 CapEx (By VP By Dept) Budg'!$A$3:$P$431</definedName>
    <definedName name="sanghvi215" localSheetId="0">#REF!</definedName>
    <definedName name="sanghvi215">#REF!</definedName>
    <definedName name="sanghvi231">'[8]2005 CapEx (By VP By Dept) Budg'!$A$3:$P$431</definedName>
    <definedName name="sanghvi232" localSheetId="0">#REF!</definedName>
    <definedName name="sanghvi232">#REF!</definedName>
    <definedName name="sanghvi2323" localSheetId="0">#REF!</definedName>
    <definedName name="sanghvi2323">#REF!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'[8]2005 CapEx (By VP By Dept) Budg'!$A$3:$P$431</definedName>
    <definedName name="saSAsa" localSheetId="0"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asg">#REF!</definedName>
    <definedName name="SBC_Amort">'[19]SBC Over Recovery Amort'!$A$14:$F$67</definedName>
    <definedName name="SBU_SHEET_HELP" localSheetId="0">#REF!</definedName>
    <definedName name="SBU_SHEET_HELP">#REF!</definedName>
    <definedName name="sch.A" localSheetId="0">#REF!</definedName>
    <definedName name="sch.A">#REF!</definedName>
    <definedName name="sch.b._FERC_ICC" localSheetId="0">#REF!</definedName>
    <definedName name="sch.b._FERC_ICC">#REF!</definedName>
    <definedName name="Schedule_CC1">[4]Model!$A$1:$IV$75</definedName>
    <definedName name="Schedule_CC2">[4]Model!$A$76:$IV$151</definedName>
    <definedName name="Schedule_CC3">[4]Model!$A$152:$IV$207</definedName>
    <definedName name="SCHUYLKILL">#REF!</definedName>
    <definedName name="sdajsadf">'[8]2005 CapEx (By VP By Dept) Budg'!$A$3:$P$431</definedName>
    <definedName name="sdasda" localSheetId="0">#REF!</definedName>
    <definedName name="sdasda">#REF!</definedName>
    <definedName name="sdf" localSheetId="0"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0"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dfafsdf">'[8]2005 CapEx (By VP By Dept) Budg'!$A$3:$P$431</definedName>
    <definedName name="sdfafsd" localSheetId="0">#REF!</definedName>
    <definedName name="sdfafsd">#REF!</definedName>
    <definedName name="sdfasdfasdfasdfasdfsdf" localSheetId="0"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#REF!</definedName>
    <definedName name="sdfasfsf">#REF!</definedName>
    <definedName name="sdfdfafaf">'[8]2005 CapEx (By VP By Dept) Budg'!$A$3:$P$431</definedName>
    <definedName name="sdfdfsf" localSheetId="0">#REF!</definedName>
    <definedName name="sdfdfsf">#REF!</definedName>
    <definedName name="sdfds" localSheetId="0"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fsfaf">#REF!</definedName>
    <definedName name="sdfsadfsf">#REF!</definedName>
    <definedName name="sdfsdfafasf">'[8]2005 CapEx (By VP By Dept) Budg'!$A$3:$P$431</definedName>
    <definedName name="sdfsdfdfdf" localSheetId="0">#REF!</definedName>
    <definedName name="sdfsdfdfdf">#REF!</definedName>
    <definedName name="sdfsdffsdfasfsdfsfasfsdfsfsdf" localSheetId="0"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asdfsd">#REF!</definedName>
    <definedName name="sdfsdfsdf">'[8]2005 CapEx (By VP By Dept) Budg'!$A$3:$P$431</definedName>
    <definedName name="sdfsdfsdfsdfsdf" localSheetId="0">#REF!</definedName>
    <definedName name="sdfsdfsdfsdfsdf">#REF!</definedName>
    <definedName name="sdfsdfsfsa" localSheetId="0"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#REF!</definedName>
    <definedName name="sdgf" hidden="1">#REF!</definedName>
    <definedName name="sdgrsdfsfsdsd">'[8]2005 CapEx (By VP By Dept) Budg'!$A$3:$P$431</definedName>
    <definedName name="sdsdsa" localSheetId="0">#REF!</definedName>
    <definedName name="sdsdsa">#REF!</definedName>
    <definedName name="sdsdsddsf">'[8]2005 CapEx (By VP By Dept) Budg'!$A$3:$P$431</definedName>
    <definedName name="sefasdfasdfsdf">'[8]2005 CapEx (By VP By Dept) Budg'!$A$3:$P$431</definedName>
    <definedName name="SENS_DATA_RTN" localSheetId="0">#REF!</definedName>
    <definedName name="SENS_DATA_RTN">#REF!</definedName>
    <definedName name="SENS_MESSAGE" localSheetId="0">#REF!</definedName>
    <definedName name="SENS_MESSAGE">#REF!</definedName>
    <definedName name="SENS_NET_CREDIT">[4]Sens_Model!$E$193</definedName>
    <definedName name="Sep" localSheetId="0">#REF!</definedName>
    <definedName name="Sep">#REF!</definedName>
    <definedName name="SepNEW" localSheetId="0">#REF!</definedName>
    <definedName name="SepNEW">#REF!</definedName>
    <definedName name="Sept" localSheetId="0">#REF!</definedName>
    <definedName name="Sept">#REF!</definedName>
    <definedName name="SERP">#REF!</definedName>
    <definedName name="sf">#REF!</definedName>
    <definedName name="SFDD">'[10]PECO Bal Sht'!#REF!</definedName>
    <definedName name="sffsfa" localSheetId="0"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d">#REF!</definedName>
    <definedName name="sfsdfasf">#REF!</definedName>
    <definedName name="sfsdfsafsf">#REF!</definedName>
    <definedName name="sfsdfsdf">#REF!</definedName>
    <definedName name="sfsdfsfsfsd">#REF!</definedName>
    <definedName name="sfsf">'[8]2005 CapEx (By VP By Dept) Budg'!$A$3:$P$431</definedName>
    <definedName name="sfsfasfsdfsdf">'[8]2005 CapEx (By VP By Dept) Budg'!$A$3:$P$431</definedName>
    <definedName name="SFSFD" localSheetId="0"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fsfs">'[8]2005 CapEx (By VP By Dept) Budg'!$A$3:$P$431</definedName>
    <definedName name="sfsfsf" localSheetId="0">#REF!</definedName>
    <definedName name="sfsfsf">#REF!</definedName>
    <definedName name="sfsssr" localSheetId="0">#REF!</definedName>
    <definedName name="sfsssr">#REF!</definedName>
    <definedName name="SFVD" localSheetId="0">'[10]PECO Bal Sht'!#REF!</definedName>
    <definedName name="SFVD">'[10]PECO Bal Sht'!#REF!</definedName>
    <definedName name="sgggggkjjkkj" localSheetId="0">#REF!</definedName>
    <definedName name="sgggggkjjkkj">#REF!</definedName>
    <definedName name="SharedSVC_Data">[26]Walt_CCTR_Detail!$B$5:$H$723</definedName>
    <definedName name="shedulecc1">[4]Model!$A$1:$IV$68</definedName>
    <definedName name="Sheet1" localSheetId="0"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LA_Unit_Cost">#REF!</definedName>
    <definedName name="slldk" localSheetId="0"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MRPEast">'[25]SMRP Results'!$H$28:$I$34</definedName>
    <definedName name="SMRPWest">'[25]SMRP Results'!$H$37:$I$43</definedName>
    <definedName name="snfsdfs">'[8]2005 CapEx (By VP By Dept) Budg'!$A$3:$P$431</definedName>
    <definedName name="snghviw">'[8]2005 CapEx (By VP By Dept) Budg'!$A$3:$P$431</definedName>
    <definedName name="solver_adj" localSheetId="0" hidden="1">#REF!,#REF!,#REF!,#REF!,#REF!,#REF!,#REF!</definedName>
    <definedName name="solver_adj" hidden="1">#REF!,#REF!,#REF!,#REF!,#REF!,#REF!,#REF!</definedName>
    <definedName name="solver_lin" hidden="1">0</definedName>
    <definedName name="solver_num" hidden="1">0</definedName>
    <definedName name="solver_tmp" localSheetId="0" hidden="1">#REF!,#REF!,#REF!,#REF!,#REF!,#REF!,#REF!</definedName>
    <definedName name="solver_tmp" hidden="1">#REF!,#REF!,#REF!,#REF!,#REF!,#REF!,#REF!</definedName>
    <definedName name="solver_typ" hidden="1">1</definedName>
    <definedName name="solver_val" hidden="1">0</definedName>
    <definedName name="SortE" hidden="1">#REF!</definedName>
    <definedName name="SOUTH">#REF!</definedName>
    <definedName name="SPSet">"current"</definedName>
    <definedName name="SPWS_WBID">"5212E8AE-A962-4131-8FBC-A40040E9ED32"</definedName>
    <definedName name="SSA">[17]Assumptions!#REF!</definedName>
    <definedName name="start84">'[4]QRE''s'!$D$8</definedName>
    <definedName name="start85">'[4]QRE''s'!$E$8</definedName>
    <definedName name="start86">'[4]QRE''s'!$F$8</definedName>
    <definedName name="start87">'[4]QRE''s'!$G$8</definedName>
    <definedName name="start88">'[4]QRE''s'!$H$8</definedName>
    <definedName name="start89">'[4]QRE''s'!$I$8</definedName>
    <definedName name="start90">'[4]QRE''s'!$J$8</definedName>
    <definedName name="start91">'[4]QRE''s'!$K$8</definedName>
    <definedName name="start92">'[4]QRE''s'!$L$8</definedName>
    <definedName name="start93">'[4]QRE''s'!$M$8</definedName>
    <definedName name="start94">'[4]QRE''s'!$N$8</definedName>
    <definedName name="start95">'[4]QRE''s'!$O$8</definedName>
    <definedName name="start96">'[4]QRE''s'!$P$8</definedName>
    <definedName name="start97">'[4]QRE''s'!$Q$8</definedName>
    <definedName name="start98">'[4]QRE''s'!$R$8</definedName>
    <definedName name="StartDate">#REF!</definedName>
    <definedName name="startdate2">[5]Sheet2!$Q$1:$Q$17</definedName>
    <definedName name="startdte">[5]Sheet2!$Q$1:$Q$17</definedName>
    <definedName name="startdte4">[5]Sheet2!$Q$1:$Q$17</definedName>
    <definedName name="State_Tax_Rate">[16]Assumptions!$E$27</definedName>
    <definedName name="summary">[4]Model!$A$182:$E$200</definedName>
    <definedName name="summary_caution">[4]Model!$A$202:$IV$207</definedName>
    <definedName name="SUT">#REF!</definedName>
    <definedName name="Swap_Amort">'[16]Keystone Swap Amort Sched'!$A$1:$F$241</definedName>
    <definedName name="Sx" localSheetId="0">#REF!</definedName>
    <definedName name="Sx">#REF!</definedName>
    <definedName name="T">[1]JobDefinition!#REF!</definedName>
    <definedName name="TABLE">#REF!</definedName>
    <definedName name="Tacx_Factor">[51]Assumptions!$E$33</definedName>
    <definedName name="TaxBasis">[19]Assumptions!$E$42</definedName>
    <definedName name="TBC">'[16]TBC Rate Summary'!$C$3:$BV$21</definedName>
    <definedName name="tblCharts">'[4]Macro Tables'!$I$5:$I$16</definedName>
    <definedName name="tblHelp">'[4]Macro Tables'!$N$5:$N$16</definedName>
    <definedName name="tblReports">'[4]Macro Tables'!$B$5:$B$16</definedName>
    <definedName name="tblWorksheets">'[4]Macro Tables'!$E$5:$E$16</definedName>
    <definedName name="TEFA" localSheetId="0">#REF!</definedName>
    <definedName name="TEFA">#REF!</definedName>
    <definedName name="TEST" localSheetId="0">#REF!</definedName>
    <definedName name="TEST">#REF!</definedName>
    <definedName name="TEST0" localSheetId="0">#REF!</definedName>
    <definedName name="TEST0">#REF!</definedName>
    <definedName name="test1">#REF!</definedName>
    <definedName name="TESTHKEY">#REF!</definedName>
    <definedName name="TESTKEYS">#REF!</definedName>
    <definedName name="TESTVKEY">#REF!</definedName>
    <definedName name="three">#REF!,#REF!,#REF!</definedName>
    <definedName name="TOTAL">#REF!</definedName>
    <definedName name="TOTAL_CUSTOMERS">#REF!</definedName>
    <definedName name="TOTAL_LINES">#REF!</definedName>
    <definedName name="total84">'[4]QRE''s'!$D$96</definedName>
    <definedName name="total85">'[4]QRE''s'!$E$96</definedName>
    <definedName name="total86">'[4]QRE''s'!$F$96</definedName>
    <definedName name="total87">'[4]QRE''s'!$G$96</definedName>
    <definedName name="total88">'[4]QRE''s'!$H$96</definedName>
    <definedName name="total89">'[4]QRE''s'!$I$96</definedName>
    <definedName name="total90">'[4]QRE''s'!$J$96</definedName>
    <definedName name="total91">'[4]QRE''s'!$K$96</definedName>
    <definedName name="total92">'[4]QRE''s'!$L$96</definedName>
    <definedName name="total93">'[4]QRE''s'!$M$96</definedName>
    <definedName name="total94">'[4]QRE''s'!$N$96</definedName>
    <definedName name="total95">'[4]QRE''s'!$O$96</definedName>
    <definedName name="total96">'[4]QRE''s'!$P$96</definedName>
    <definedName name="total97">'[4]QRE''s'!$Q$96</definedName>
    <definedName name="total98">'[4]QRE''s'!$R$96</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co">#REF!</definedName>
    <definedName name="transcosts">[19]Assumptions!$E$43</definedName>
    <definedName name="Tree" localSheetId="0">#REF!</definedName>
    <definedName name="Tree">#REF!</definedName>
    <definedName name="TWELVE" localSheetId="0">#REF!</definedName>
    <definedName name="TWELVE">#REF!</definedName>
    <definedName name="two" localSheetId="0">#REF!,#REF!,#REF!</definedName>
    <definedName name="two">#REF!,#REF!,#REF!</definedName>
    <definedName name="TypeCost">'[11]all EED O&amp;M BO data'!$V$2:$V$5000</definedName>
    <definedName name="tyty" localSheetId="0"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nder" localSheetId="0" hidden="1">{#N/A,#N/A,TRUE,"TAXPROV";#N/A,#N/A,TRUE,"FLOWTHRU";#N/A,#N/A,TRUE,"SCHEDULE M'S";#N/A,#N/A,TRUE,"PLANT M'S";#N/A,#N/A,TRUE,"TAXJE"}</definedName>
    <definedName name="under" hidden="1">{#N/A,#N/A,TRUE,"TAXPROV";#N/A,#N/A,TRUE,"FLOWTHRU";#N/A,#N/A,TRUE,"SCHEDULE M'S";#N/A,#N/A,TRUE,"PLANT M'S";#N/A,#N/A,TRUE,"TAXJE"}</definedName>
    <definedName name="UTILRANGE">#REF!</definedName>
    <definedName name="va">#REF!</definedName>
    <definedName name="vacpd">#REF!</definedName>
    <definedName name="ValidData">#REF!</definedName>
    <definedName name="ValuationYear">'[52]FAS 87'!$B$3</definedName>
    <definedName name="vaplr" localSheetId="0">#REF!</definedName>
    <definedName name="vaplr">#REF!</definedName>
    <definedName name="vaytd" localSheetId="0">#REF!</definedName>
    <definedName name="vaytd">#REF!</definedName>
    <definedName name="vcbcvbcv" localSheetId="0"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xcvxc">'[8]2005 CapEx (By VP By Dept) Budg'!$A$3:$P$431</definedName>
    <definedName name="vxcvxcvx">'[8]2005 CapEx (By VP By Dept) Budg'!$A$3:$P$431</definedName>
    <definedName name="vxvxvxcvxc">'[8]2005 CapEx (By VP By Dept) Budg'!$A$3:$P$431</definedName>
    <definedName name="vxzvxcvxzcvxcv">'[8]2005 CapEx (By VP By Dept) Budg'!$A$3:$P$431</definedName>
    <definedName name="wearwerawer" localSheetId="0">#REF!</definedName>
    <definedName name="wearwerawer">#REF!</definedName>
    <definedName name="wer" localSheetId="0"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erw3">#REF!</definedName>
    <definedName name="werwerwe">#REF!</definedName>
    <definedName name="WESTERN">#REF!</definedName>
    <definedName name="what" localSheetId="0" hidden="1">{#N/A,#N/A,FALSE,"O&amp;M by processes";#N/A,#N/A,FALSE,"Elec Act vs Bud";#N/A,#N/A,FALSE,"G&amp;A";#N/A,#N/A,FALSE,"BGS";#N/A,#N/A,FALSE,"Res Cost"}</definedName>
    <definedName name="what" hidden="1">{#N/A,#N/A,FALSE,"O&amp;M by processes";#N/A,#N/A,FALSE,"Elec Act vs Bud";#N/A,#N/A,FALSE,"G&amp;A";#N/A,#N/A,FALSE,"BGS";#N/A,#N/A,FALSE,"Res Cost"}</definedName>
    <definedName name="what09" localSheetId="0" hidden="1">{#N/A,#N/A,FALSE,"O&amp;M by processes";#N/A,#N/A,FALSE,"Elec Act vs Bud";#N/A,#N/A,FALSE,"G&amp;A";#N/A,#N/A,FALSE,"BGS";#N/A,#N/A,FALSE,"Res Cost"}</definedName>
    <definedName name="what09" hidden="1">{#N/A,#N/A,FALSE,"O&amp;M by processes";#N/A,#N/A,FALSE,"Elec Act vs Bud";#N/A,#N/A,FALSE,"G&amp;A";#N/A,#N/A,FALSE,"BGS";#N/A,#N/A,FALSE,"Res Cost"}</definedName>
    <definedName name="Whatwhat" localSheetId="0" hidden="1">{#N/A,#N/A,FALSE,"O&amp;M by processes";#N/A,#N/A,FALSE,"Elec Act vs Bud";#N/A,#N/A,FALSE,"G&amp;A";#N/A,#N/A,FALSE,"BGS";#N/A,#N/A,FALSE,"Res Cost"}</definedName>
    <definedName name="Whatwhat" hidden="1">{#N/A,#N/A,FALSE,"O&amp;M by processes";#N/A,#N/A,FALSE,"Elec Act vs Bud";#N/A,#N/A,FALSE,"G&amp;A";#N/A,#N/A,FALSE,"BGS";#N/A,#N/A,FALSE,"Res Cost"}</definedName>
    <definedName name="Whatwhat09" localSheetId="0" hidden="1">{#N/A,#N/A,FALSE,"O&amp;M by processes";#N/A,#N/A,FALSE,"Elec Act vs Bud";#N/A,#N/A,FALSE,"G&amp;A";#N/A,#N/A,FALSE,"BGS";#N/A,#N/A,FALSE,"Res Cost"}</definedName>
    <definedName name="Whatwhat09" hidden="1">{#N/A,#N/A,FALSE,"O&amp;M by processes";#N/A,#N/A,FALSE,"Elec Act vs Bud";#N/A,#N/A,FALSE,"G&amp;A";#N/A,#N/A,FALSE,"BGS";#N/A,#N/A,FALSE,"Res Cost"}</definedName>
    <definedName name="whatwhat2009" localSheetId="0" hidden="1">{#N/A,#N/A,FALSE,"O&amp;M by processes";#N/A,#N/A,FALSE,"Elec Act vs Bud";#N/A,#N/A,FALSE,"G&amp;A";#N/A,#N/A,FALSE,"BGS";#N/A,#N/A,FALSE,"Res Cost"}</definedName>
    <definedName name="whatwhat2009" hidden="1">{#N/A,#N/A,FALSE,"O&amp;M by processes";#N/A,#N/A,FALSE,"Elec Act vs Bud";#N/A,#N/A,FALSE,"G&amp;A";#N/A,#N/A,FALSE,"BGS";#N/A,#N/A,FALSE,"Res Cost"}</definedName>
    <definedName name="Workforce">#REF!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0" hidden="1">{"AGT",#N/A,FALSE,"Revenue"}</definedName>
    <definedName name="wrn.AGT." hidden="1">{"AGT",#N/A,FALSE,"Revenue"}</definedName>
    <definedName name="wrn.August._.1._.2003._.Rate._.Change." localSheetId="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Filing." localSheetId="0" hidden="1">{"2002 Scedule A Revenue Proof",#N/A,FALSE,"Schedule A";"2002 Rate Detail",#N/A,FALSE,"Schedule B";"2002 Light Rates Page 1",#N/A,FALSE,"Schedule B";"2002 Light Rates Page 2",#N/A,FALSE,"Schedule B";"Schedule C",#N/A,FALSE,"Schedule C"}</definedName>
    <definedName name="wrn.August._.1._.Filing." hidden="1">{"2002 Scedule A Revenue Proof",#N/A,FALSE,"Schedule A";"2002 Rate Detail",#N/A,FALSE,"Schedule B";"2002 Light Rates Page 1",#N/A,FALSE,"Schedule B";"2002 Light Rates Page 2",#N/A,FALSE,"Schedule B";"Schedule C",#N/A,FALSE,"Schedule C"}</definedName>
    <definedName name="wrn.Basic." localSheetId="0" hidden="1">{#N/A,#N/A,FALSE,"O&amp;M by processes";#N/A,#N/A,FALSE,"Elec Act vs Bud";#N/A,#N/A,FALSE,"G&amp;A";#N/A,#N/A,FALSE,"BGS";#N/A,#N/A,FALSE,"Res Cost"}</definedName>
    <definedName name="wrn.Basic." hidden="1">{#N/A,#N/A,FALSE,"O&amp;M by processes";#N/A,#N/A,FALSE,"Elec Act vs Bud";#N/A,#N/A,FALSE,"G&amp;A";#N/A,#N/A,FALSE,"BGS";#N/A,#N/A,FALSE,"Res Cost"}</definedName>
    <definedName name="wrn.CFC._.QUARTER." localSheetId="8" hidden="1">{"CFC COMPARISON",#N/A,FALSE,"CFCCOMP";"CREDIT LETTER",#N/A,FALSE,"CFCCOMP";"DEBT OBLIGATION",#N/A,FALSE,"CFCCOMP";"OFFICERS CERTIFICATE",#N/A,FALSE,"CFCCOMP"}</definedName>
    <definedName name="wrn.CFC._.QUARTER." localSheetId="9"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3" hidden="1">{"CFC COMPARISON",#N/A,FALSE,"CFCCOMP";"CREDIT LETTER",#N/A,FALSE,"CFCCOMP";"DEBT OBLIGATION",#N/A,FALSE,"CFCCOMP";"OFFICERS CERTIFICATE",#N/A,FALSE,"CFCCOMP"}</definedName>
    <definedName name="wrn.CFC._.QUARTER." localSheetId="15"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Deferral._.Forecast." localSheetId="0"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localSheetId="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_.Update." localSheetId="0"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09" localSheetId="0"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09"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UEL._.SCHEDULE." localSheetId="8" hidden="1">{"COVER",#N/A,FALSE,"COVERPMT";"COMPANY ORDER",#N/A,FALSE,"COVERPMT";"EXHIBIT A",#N/A,FALSE,"COVERPMT"}</definedName>
    <definedName name="wrn.FUEL._.SCHEDULE." localSheetId="9" hidden="1">{"COVER",#N/A,FALSE,"COVERPMT";"COMPANY ORDER",#N/A,FALSE,"COVERPMT";"EXHIBIT A",#N/A,FALSE,"COVERPMT"}</definedName>
    <definedName name="wrn.FUEL._.SCHEDULE." localSheetId="0" hidden="1">{"COVER",#N/A,FALSE,"COVERPMT";"COMPANY ORDER",#N/A,FALSE,"COVERPMT";"EXHIBIT A",#N/A,FALSE,"COVERPMT"}</definedName>
    <definedName name="wrn.FUEL._.SCHEDULE." localSheetId="7" hidden="1">{"COVER",#N/A,FALSE,"COVERPMT";"COMPANY ORDER",#N/A,FALSE,"COVERPMT";"EXHIBIT A",#N/A,FALSE,"COVERPMT"}</definedName>
    <definedName name="wrn.FUEL._.SCHEDULE." localSheetId="10" hidden="1">{"COVER",#N/A,FALSE,"COVERPMT";"COMPANY ORDER",#N/A,FALSE,"COVERPMT";"EXHIBIT A",#N/A,FALSE,"COVERPMT"}</definedName>
    <definedName name="wrn.FUEL._.SCHEDULE." localSheetId="13" hidden="1">{"COVER",#N/A,FALSE,"COVERPMT";"COMPANY ORDER",#N/A,FALSE,"COVERPMT";"EXHIBIT A",#N/A,FALSE,"COVERPMT"}</definedName>
    <definedName name="wrn.FUEL._.SCHEDULE." localSheetId="15" hidden="1">{"COVER",#N/A,FALSE,"COVERPMT";"COMPANY ORDER",#N/A,FALSE,"COVERPMT";"EXHIBIT A",#N/A,FALSE,"COVERPMT"}</definedName>
    <definedName name="wrn.FUEL._.SCHEDULE." hidden="1">{"COVER",#N/A,FALSE,"COVERPMT";"COMPANY ORDER",#N/A,FALSE,"COVERPMT";"EXHIBIT A",#N/A,FALSE,"COVERPMT"}</definedName>
    <definedName name="wrn.HLP._.Detail." localSheetId="0"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PrintAll." localSheetId="0"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_D._.Tax._.Services." localSheetId="0" hidden="1">{#N/A,#N/A,FALSE,"R&amp;D Quick Calc";#N/A,#N/A,FALSE,"DOE Fee Schedule"}</definedName>
    <definedName name="wrn.R_D._.Tax._.Services." hidden="1">{#N/A,#N/A,FALSE,"R&amp;D Quick Calc";#N/A,#N/A,FALSE,"DOE Fee Schedule"}</definedName>
    <definedName name="wrn.Revenue._.Analysis." localSheetId="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ettlement._.Analysis." localSheetId="0" hidden="1">{"Assumptions",#N/A,FALSE,"Assumptions";"2003 - 2007 Summary",#N/A,FALSE,"Income Statement";"Summary Deferral Forecast",#N/A,FALSE,"Deferral Forecast"}</definedName>
    <definedName name="wrn.Settlement._.Analysis." hidden="1">{"Assumptions",#N/A,FALSE,"Assumptions";"2003 - 2007 Summary",#N/A,FALSE,"Income Statement";"Summary Deferral Forecast",#N/A,FALSE,"Deferral Forecast"}</definedName>
    <definedName name="wrn.tax._._Accrual09" localSheetId="0" hidden="1">{#N/A,#N/A,TRUE,"TAXPROV";#N/A,#N/A,TRUE,"FLOWTHRU";#N/A,#N/A,TRUE,"SCHEDULE M'S";#N/A,#N/A,TRUE,"PLANT M'S";#N/A,#N/A,TRUE,"TAXJE"}</definedName>
    <definedName name="wrn.tax._._Accrual09" hidden="1">{#N/A,#N/A,TRUE,"TAXPROV";#N/A,#N/A,TRUE,"FLOWTHRU";#N/A,#N/A,TRUE,"SCHEDULE M'S";#N/A,#N/A,TRUE,"PLANT M'S";#N/A,#N/A,TRUE,"TAXJE"}</definedName>
    <definedName name="wrn.Tax._.Accrual." localSheetId="0" hidden="1">{#N/A,#N/A,TRUE,"TAXPROV";#N/A,#N/A,TRUE,"FLOWTHRU";#N/A,#N/A,TRUE,"SCHEDULE M'S";#N/A,#N/A,TRUE,"PLANT M'S";#N/A,#N/A,TRUE,"TAXJE"}</definedName>
    <definedName name="wrn.Tax._.Accrual." hidden="1">{#N/A,#N/A,TRUE,"TAXPROV";#N/A,#N/A,TRUE,"FLOWTHRU";#N/A,#N/A,TRUE,"SCHEDULE M'S";#N/A,#N/A,TRUE,"PLANT M'S";#N/A,#N/A,TRUE,"TAXJE"}</definedName>
    <definedName name="wrn.TBC._.Update." localSheetId="0" hidden="1">{#N/A,#N/A,FALSE,"TABLE I";#N/A,#N/A,FALSE,"TBC Development";#N/A,#N/A,FALSE,"MTC -Tax Development";#N/A,#N/A,FALSE,"MTC - Tax descriptions";#N/A,#N/A,FALSE,"MTC -Tax True Up"}</definedName>
    <definedName name="wrn.TBC._.Update." hidden="1">{#N/A,#N/A,FALSE,"TABLE I";#N/A,#N/A,FALSE,"TBC Development";#N/A,#N/A,FALSE,"MTC -Tax Development";#N/A,#N/A,FALSE,"MTC - Tax descriptions";#N/A,#N/A,FALSE,"MTC -Tax True Up"}</definedName>
    <definedName name="xcvxvx">#REF!</definedName>
    <definedName name="xvsdgsgfsf">'[8]2005 CapEx (By VP By Dept) Budg'!$A$3:$P$431</definedName>
    <definedName name="xvxvxzvxc" localSheetId="0">#REF!</definedName>
    <definedName name="xvxvxzvxc">#REF!</definedName>
    <definedName name="xzczczczxc" localSheetId="0">#REF!</definedName>
    <definedName name="xzczczczxc">#REF!</definedName>
    <definedName name="y" localSheetId="0"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ct">'[11]all EED O&amp;M BO data'!$O$2:$O$5000</definedName>
    <definedName name="Year" localSheetId="0">#REF!</definedName>
    <definedName name="Year">#REF!</definedName>
    <definedName name="Year4BGS">[16]Assumptions!#REF!</definedName>
    <definedName name="YEBudVar">'[11]all EED O&amp;M BO data'!$R$2:$R$5000</definedName>
    <definedName name="YEQtrVar">'[11]all EED O&amp;M BO data'!$S$2:$S$5000</definedName>
    <definedName name="YesNo" localSheetId="0">#REF!</definedName>
    <definedName name="YesNo">#REF!</definedName>
    <definedName name="YORK_COUNTY" localSheetId="0">#REF!</definedName>
    <definedName name="YORK_COUNTY">#REF!</definedName>
    <definedName name="yrtm1">[4]Print!$I$31</definedName>
    <definedName name="yrtm2">[4]Print!$G$31</definedName>
    <definedName name="yrtm3">[4]Print!$E$31</definedName>
    <definedName name="yrtm4">[4]Print!$C$31</definedName>
    <definedName name="yryryrr" localSheetId="0"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Act">'[11]all EED O&amp;M BO data'!$J$2:$J$5000</definedName>
    <definedName name="YTDBudVar">'[11]all EED O&amp;M BO data'!$M$2:$M$5000</definedName>
    <definedName name="YTDCFLE" localSheetId="0">#REF!</definedName>
    <definedName name="YTDCFLE">#REF!</definedName>
    <definedName name="YTDQtrVar">'[11]all EED O&amp;M BO data'!$N$2:$N$5000</definedName>
    <definedName name="z" localSheetId="0"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E3A30FBC_675D_4AD8_9B2D_12956792A138_.wvu.Rows" localSheetId="8" hidden="1">' Ap C - Qtr Electric LMI'!#REF!</definedName>
    <definedName name="Z_E3A30FBC_675D_4AD8_9B2D_12956792A138_.wvu.Rows" localSheetId="9" hidden="1">' Ap D - Qtr Electric Business'!#REF!</definedName>
    <definedName name="Z_E3A30FBC_675D_4AD8_9B2D_12956792A138_.wvu.Rows" localSheetId="7" hidden="1">'Ap B - Qtr Electric Master'!#REF!</definedName>
    <definedName name="Zxczxczczc">'[8]2005 CapEx (By VP By Dept) Budg'!$A$3:$P$431</definedName>
    <definedName name="zxdc">[53]Update!$B$2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48" l="1"/>
  <c r="I24" i="48"/>
  <c r="H24" i="48"/>
  <c r="F24" i="48"/>
  <c r="E24" i="48"/>
  <c r="H25" i="48"/>
  <c r="F25" i="48"/>
  <c r="K24" i="48"/>
  <c r="H23" i="48"/>
  <c r="F23" i="48"/>
  <c r="K22" i="48"/>
  <c r="J22" i="48"/>
  <c r="I22" i="48"/>
  <c r="G22" i="48"/>
  <c r="E22" i="48"/>
  <c r="K21" i="48"/>
  <c r="J21" i="48"/>
  <c r="I21" i="48"/>
  <c r="G21" i="48"/>
  <c r="E21" i="48"/>
  <c r="K20" i="48"/>
  <c r="J20" i="48"/>
  <c r="I20" i="48"/>
  <c r="G20" i="48"/>
  <c r="E20" i="48"/>
  <c r="K19" i="48"/>
  <c r="J19" i="48"/>
  <c r="I19" i="48"/>
  <c r="G19" i="48"/>
  <c r="E19" i="48"/>
  <c r="K18" i="48"/>
  <c r="J18" i="48"/>
  <c r="I18" i="48"/>
  <c r="H18" i="48"/>
  <c r="G18" i="48"/>
  <c r="F18" i="48"/>
  <c r="E18" i="48"/>
  <c r="K17" i="48"/>
  <c r="J17" i="48"/>
  <c r="I17" i="48"/>
  <c r="H17" i="48"/>
  <c r="G17" i="48"/>
  <c r="F17" i="48"/>
  <c r="E17" i="48"/>
  <c r="K16" i="48"/>
  <c r="J16" i="48"/>
  <c r="I16" i="48"/>
  <c r="H16" i="48"/>
  <c r="G16" i="48"/>
  <c r="F16" i="48"/>
  <c r="E16" i="48"/>
  <c r="K15" i="48"/>
  <c r="J15" i="48"/>
  <c r="I15" i="48"/>
  <c r="H15" i="48"/>
  <c r="G15" i="48"/>
  <c r="F15" i="48"/>
  <c r="E15" i="48"/>
  <c r="K14" i="48"/>
  <c r="J14" i="48"/>
  <c r="I14" i="48"/>
  <c r="H14" i="48"/>
  <c r="G14" i="48"/>
  <c r="F14" i="48"/>
  <c r="E14" i="48"/>
  <c r="K13" i="48"/>
  <c r="J13" i="48"/>
  <c r="I13" i="48"/>
  <c r="H13" i="48"/>
  <c r="G13" i="48"/>
  <c r="F13" i="48"/>
  <c r="E13" i="48"/>
  <c r="K12" i="48"/>
  <c r="J12" i="48"/>
  <c r="I12" i="48"/>
  <c r="H12" i="48"/>
  <c r="G12" i="48"/>
  <c r="F12" i="48"/>
  <c r="E12" i="48"/>
  <c r="K11" i="48"/>
  <c r="J11" i="48"/>
  <c r="I11" i="48"/>
  <c r="H11" i="48"/>
  <c r="G11" i="48"/>
  <c r="F11" i="48"/>
  <c r="E11" i="48"/>
  <c r="F10" i="48"/>
  <c r="K9" i="48"/>
  <c r="J9" i="48"/>
  <c r="I9" i="48"/>
  <c r="H9" i="48"/>
  <c r="G9" i="48"/>
  <c r="E9" i="48"/>
  <c r="K8" i="48"/>
  <c r="J8" i="48"/>
  <c r="I8" i="48"/>
  <c r="H8" i="48"/>
  <c r="G8" i="48"/>
  <c r="E8" i="48"/>
  <c r="K7" i="48"/>
  <c r="J7" i="48"/>
  <c r="I7" i="48"/>
  <c r="H7" i="48"/>
  <c r="E7" i="48"/>
  <c r="K6" i="48"/>
  <c r="J6" i="48"/>
  <c r="I6" i="48"/>
  <c r="H6" i="48"/>
  <c r="E6" i="48"/>
  <c r="K5" i="48"/>
  <c r="J5" i="48"/>
  <c r="I5" i="48"/>
  <c r="H5" i="48"/>
  <c r="E5" i="48"/>
  <c r="K4" i="48"/>
  <c r="J4" i="48"/>
  <c r="I4" i="48"/>
  <c r="H4" i="48"/>
  <c r="G4" i="48"/>
  <c r="E4" i="48"/>
  <c r="E4" i="36" l="1"/>
  <c r="K4" i="36" s="1"/>
  <c r="I5" i="35"/>
  <c r="D7" i="36"/>
  <c r="B7" i="36" s="1"/>
  <c r="B5" i="36" l="1"/>
  <c r="D6" i="36"/>
  <c r="B6" i="36"/>
  <c r="H7" i="36"/>
  <c r="H6" i="36"/>
  <c r="H5" i="36"/>
  <c r="D5" i="36"/>
  <c r="D5" i="35"/>
  <c r="D4" i="35"/>
  <c r="M12" i="40"/>
  <c r="H12" i="40"/>
  <c r="G11" i="40"/>
  <c r="I18" i="27" l="1"/>
  <c r="I15" i="27"/>
  <c r="G14" i="29"/>
  <c r="I14" i="29"/>
  <c r="E14" i="29"/>
  <c r="K18" i="27"/>
  <c r="O18" i="27"/>
  <c r="G18" i="27"/>
  <c r="I64" i="37"/>
  <c r="F64" i="37"/>
  <c r="I57" i="37"/>
  <c r="F57" i="37"/>
  <c r="I56" i="37"/>
  <c r="F56" i="37"/>
  <c r="I55" i="37"/>
  <c r="F55" i="37"/>
  <c r="I35" i="37"/>
  <c r="F35" i="37"/>
  <c r="I34" i="37"/>
  <c r="F34" i="37"/>
  <c r="I33" i="37"/>
  <c r="F33" i="37"/>
  <c r="G23" i="27"/>
  <c r="I13" i="37"/>
  <c r="F13" i="37"/>
  <c r="I12" i="37"/>
  <c r="F12" i="37"/>
  <c r="I11" i="37"/>
  <c r="F11" i="37"/>
  <c r="C5" i="47"/>
  <c r="B5" i="47"/>
  <c r="H5" i="47" l="1"/>
  <c r="G5" i="47"/>
  <c r="F5" i="47"/>
  <c r="E5" i="47"/>
  <c r="D5" i="47"/>
  <c r="I10" i="36" l="1"/>
  <c r="F10" i="36"/>
  <c r="I23" i="27" l="1"/>
  <c r="I22" i="27"/>
  <c r="G6" i="36" l="1"/>
  <c r="F10" i="40" l="1"/>
  <c r="F9" i="40"/>
  <c r="E20" i="37" l="1"/>
  <c r="C6" i="36"/>
  <c r="N10" i="30" l="1"/>
  <c r="N11" i="30"/>
  <c r="AE7" i="27" l="1"/>
  <c r="C61" i="37"/>
  <c r="H42" i="37"/>
  <c r="H64" i="37" s="1"/>
  <c r="E42" i="37"/>
  <c r="E64" i="37" s="1"/>
  <c r="P29" i="27"/>
  <c r="P30" i="27"/>
  <c r="P31" i="27"/>
  <c r="P28" i="27"/>
  <c r="P25" i="27"/>
  <c r="P24" i="27"/>
  <c r="P23" i="27"/>
  <c r="P22" i="27"/>
  <c r="P17" i="27"/>
  <c r="P16" i="27"/>
  <c r="P15" i="27"/>
  <c r="P9" i="27"/>
  <c r="P10" i="27"/>
  <c r="P11" i="27"/>
  <c r="P12" i="27"/>
  <c r="P13" i="27"/>
  <c r="P8" i="27"/>
  <c r="I42" i="37" l="1"/>
  <c r="F42" i="37"/>
  <c r="H20" i="37"/>
  <c r="F20" i="37"/>
  <c r="G39" i="37"/>
  <c r="I20" i="37" l="1"/>
  <c r="G20" i="37"/>
  <c r="S14" i="27"/>
  <c r="N14" i="27"/>
  <c r="O14" i="27" s="1"/>
  <c r="G25" i="37" l="1"/>
  <c r="G26" i="37"/>
  <c r="G27" i="37"/>
  <c r="G28" i="37"/>
  <c r="D13" i="29" l="1"/>
  <c r="AF17" i="27" l="1"/>
  <c r="AE17" i="27"/>
  <c r="AD17" i="27"/>
  <c r="AF16" i="27"/>
  <c r="AE16" i="27"/>
  <c r="AD16" i="27"/>
  <c r="AF15" i="27"/>
  <c r="AE15" i="27"/>
  <c r="AD15" i="27"/>
  <c r="AF14" i="27"/>
  <c r="AE14" i="27"/>
  <c r="AD14" i="27"/>
  <c r="AF13" i="27"/>
  <c r="AE13" i="27"/>
  <c r="AD13" i="27"/>
  <c r="AF12" i="27"/>
  <c r="AE12" i="27"/>
  <c r="AD12" i="27"/>
  <c r="AF11" i="27"/>
  <c r="AE11" i="27"/>
  <c r="AD11" i="27"/>
  <c r="AF10" i="27"/>
  <c r="AE10" i="27"/>
  <c r="AD10" i="27"/>
  <c r="AF9" i="27"/>
  <c r="AE9" i="27"/>
  <c r="AD9" i="27"/>
  <c r="AF8" i="27"/>
  <c r="AE8" i="27"/>
  <c r="AD8" i="27"/>
  <c r="AF7" i="27"/>
  <c r="AD7" i="27"/>
  <c r="B8" i="36"/>
  <c r="G9" i="40"/>
  <c r="G10" i="40"/>
  <c r="G12" i="40"/>
  <c r="J14" i="37"/>
  <c r="G14" i="37"/>
  <c r="C8" i="36"/>
  <c r="F8" i="36"/>
  <c r="E8" i="36" l="1"/>
  <c r="J12" i="40"/>
  <c r="L12" i="40"/>
  <c r="N12" i="40"/>
  <c r="G8" i="36"/>
  <c r="I8" i="36" s="1"/>
  <c r="C4" i="35"/>
  <c r="G5" i="35"/>
  <c r="F5" i="35"/>
  <c r="H4" i="36"/>
  <c r="D4" i="36"/>
  <c r="H13" i="29"/>
  <c r="H15" i="29" s="1"/>
  <c r="D15" i="29"/>
  <c r="D18" i="36"/>
  <c r="E21" i="36"/>
  <c r="B29" i="36"/>
  <c r="C29" i="36"/>
  <c r="D29" i="36"/>
  <c r="E32" i="36"/>
  <c r="J18" i="30"/>
  <c r="M12" i="38"/>
  <c r="M11" i="38"/>
  <c r="M10" i="38"/>
  <c r="M9" i="38"/>
  <c r="M8" i="38"/>
  <c r="M6" i="38"/>
  <c r="M5" i="38"/>
  <c r="L12" i="38"/>
  <c r="L11" i="38"/>
  <c r="L10" i="38"/>
  <c r="L9" i="38"/>
  <c r="L8" i="38"/>
  <c r="L6" i="38"/>
  <c r="L5" i="38"/>
  <c r="K12" i="38"/>
  <c r="K11" i="38"/>
  <c r="K10" i="38"/>
  <c r="K9" i="38"/>
  <c r="K8" i="38"/>
  <c r="K6" i="38"/>
  <c r="K5" i="38"/>
  <c r="J12" i="38"/>
  <c r="J11" i="38"/>
  <c r="J10" i="38"/>
  <c r="J9" i="38"/>
  <c r="J8" i="38"/>
  <c r="J6" i="38"/>
  <c r="J5" i="38"/>
  <c r="I12" i="38"/>
  <c r="I11" i="38"/>
  <c r="I10" i="38"/>
  <c r="I9" i="38"/>
  <c r="I8" i="38"/>
  <c r="I6" i="38"/>
  <c r="I5" i="38"/>
  <c r="L49" i="45"/>
  <c r="K49" i="45"/>
  <c r="M48" i="45"/>
  <c r="L48" i="45"/>
  <c r="K48" i="45"/>
  <c r="J48" i="45"/>
  <c r="I48" i="45"/>
  <c r="H48" i="45"/>
  <c r="F48" i="45"/>
  <c r="F47" i="45"/>
  <c r="E47" i="45"/>
  <c r="D47" i="45"/>
  <c r="D48" i="45" s="1"/>
  <c r="C47" i="45"/>
  <c r="C48" i="45" s="1"/>
  <c r="G48" i="45" s="1"/>
  <c r="F46" i="45"/>
  <c r="E46" i="45"/>
  <c r="D46" i="45"/>
  <c r="C46" i="45"/>
  <c r="G46" i="45" s="1"/>
  <c r="F45" i="45"/>
  <c r="E45" i="45"/>
  <c r="E48" i="45" s="1"/>
  <c r="D45" i="45"/>
  <c r="C45" i="45"/>
  <c r="M44" i="45"/>
  <c r="M49" i="45" s="1"/>
  <c r="L44" i="45"/>
  <c r="K44" i="45"/>
  <c r="J44" i="45"/>
  <c r="J49" i="45" s="1"/>
  <c r="I44" i="45"/>
  <c r="I49" i="45" s="1"/>
  <c r="H44" i="45"/>
  <c r="H49" i="45" s="1"/>
  <c r="F42" i="45"/>
  <c r="E42" i="45"/>
  <c r="G42" i="45" s="1"/>
  <c r="D42" i="45"/>
  <c r="C42" i="45"/>
  <c r="F41" i="45"/>
  <c r="E41" i="45"/>
  <c r="D41" i="45"/>
  <c r="C41" i="45"/>
  <c r="G41" i="45" s="1"/>
  <c r="G40" i="45"/>
  <c r="F40" i="45"/>
  <c r="E40" i="45"/>
  <c r="D40" i="45"/>
  <c r="C40" i="45"/>
  <c r="F39" i="45"/>
  <c r="E39" i="45"/>
  <c r="D39" i="45"/>
  <c r="G39" i="45" s="1"/>
  <c r="C39" i="45"/>
  <c r="F38" i="45"/>
  <c r="E38" i="45"/>
  <c r="D38" i="45"/>
  <c r="C38" i="45"/>
  <c r="G38" i="45" s="1"/>
  <c r="F37" i="45"/>
  <c r="G37" i="45" s="1"/>
  <c r="E37" i="45"/>
  <c r="D37" i="45"/>
  <c r="C37" i="45"/>
  <c r="F36" i="45"/>
  <c r="E36" i="45"/>
  <c r="D36" i="45"/>
  <c r="C36" i="45"/>
  <c r="G36" i="45" s="1"/>
  <c r="F35" i="45"/>
  <c r="E35" i="45"/>
  <c r="D35" i="45"/>
  <c r="C35" i="45"/>
  <c r="G35" i="45" s="1"/>
  <c r="F34" i="45"/>
  <c r="F44" i="45" s="1"/>
  <c r="F49" i="45" s="1"/>
  <c r="E34" i="45"/>
  <c r="E44" i="45" s="1"/>
  <c r="E49" i="45" s="1"/>
  <c r="D34" i="45"/>
  <c r="D44" i="45" s="1"/>
  <c r="D49" i="45" s="1"/>
  <c r="C34" i="45"/>
  <c r="C44" i="45" s="1"/>
  <c r="F30" i="45"/>
  <c r="E30" i="45"/>
  <c r="G30" i="45" s="1"/>
  <c r="D30" i="45"/>
  <c r="C30" i="45"/>
  <c r="L26" i="45"/>
  <c r="K26" i="45"/>
  <c r="M23" i="45"/>
  <c r="L23" i="45"/>
  <c r="K23" i="45"/>
  <c r="J23" i="45"/>
  <c r="I23" i="45"/>
  <c r="H23" i="45"/>
  <c r="F23" i="45"/>
  <c r="F22" i="45"/>
  <c r="E22" i="45"/>
  <c r="D22" i="45"/>
  <c r="D23" i="45" s="1"/>
  <c r="C22" i="45"/>
  <c r="C23" i="45" s="1"/>
  <c r="F21" i="45"/>
  <c r="E21" i="45"/>
  <c r="E23" i="45" s="1"/>
  <c r="D21" i="45"/>
  <c r="C21" i="45"/>
  <c r="G21" i="45" s="1"/>
  <c r="M18" i="45"/>
  <c r="L18" i="45"/>
  <c r="K18" i="45"/>
  <c r="M17" i="45"/>
  <c r="L17" i="45"/>
  <c r="K17" i="45"/>
  <c r="J17" i="45"/>
  <c r="I17" i="45"/>
  <c r="H17" i="45"/>
  <c r="C17" i="45" s="1"/>
  <c r="G17" i="45" s="1"/>
  <c r="F17" i="45"/>
  <c r="D17" i="45"/>
  <c r="F16" i="45"/>
  <c r="E16" i="45"/>
  <c r="D16" i="45"/>
  <c r="C16" i="45"/>
  <c r="G16" i="45" s="1"/>
  <c r="F15" i="45"/>
  <c r="E15" i="45"/>
  <c r="D15" i="45"/>
  <c r="C15" i="45"/>
  <c r="G15" i="45" s="1"/>
  <c r="F14" i="45"/>
  <c r="E14" i="45"/>
  <c r="E17" i="45" s="1"/>
  <c r="D14" i="45"/>
  <c r="C14" i="45"/>
  <c r="M13" i="45"/>
  <c r="M29" i="45" s="1"/>
  <c r="L13" i="45"/>
  <c r="L29" i="45" s="1"/>
  <c r="K13" i="45"/>
  <c r="K29" i="45" s="1"/>
  <c r="K31" i="45" s="1"/>
  <c r="J13" i="45"/>
  <c r="J26" i="45" s="1"/>
  <c r="I13" i="45"/>
  <c r="I26" i="45" s="1"/>
  <c r="H13" i="45"/>
  <c r="H29" i="45" s="1"/>
  <c r="F12" i="45"/>
  <c r="E12" i="45"/>
  <c r="G12" i="45" s="1"/>
  <c r="D12" i="45"/>
  <c r="C12" i="45"/>
  <c r="F11" i="45"/>
  <c r="E11" i="45"/>
  <c r="D11" i="45"/>
  <c r="C11" i="45"/>
  <c r="G11" i="45" s="1"/>
  <c r="G10" i="45"/>
  <c r="F10" i="45"/>
  <c r="E10" i="45"/>
  <c r="D10" i="45"/>
  <c r="C10" i="45"/>
  <c r="F9" i="45"/>
  <c r="E9" i="45"/>
  <c r="D9" i="45"/>
  <c r="G9" i="45" s="1"/>
  <c r="C9" i="45"/>
  <c r="F8" i="45"/>
  <c r="E8" i="45"/>
  <c r="D8" i="45"/>
  <c r="C8" i="45"/>
  <c r="G8" i="45" s="1"/>
  <c r="F7" i="45"/>
  <c r="G7" i="45" s="1"/>
  <c r="E7" i="45"/>
  <c r="D7" i="45"/>
  <c r="C7" i="45"/>
  <c r="F6" i="45"/>
  <c r="E6" i="45"/>
  <c r="D6" i="45"/>
  <c r="C6" i="45"/>
  <c r="G6" i="45" s="1"/>
  <c r="F5" i="45"/>
  <c r="F13" i="45" s="1"/>
  <c r="E5" i="45"/>
  <c r="E13" i="45" s="1"/>
  <c r="D5" i="45"/>
  <c r="D13" i="45" s="1"/>
  <c r="C5" i="45"/>
  <c r="G5" i="45" s="1"/>
  <c r="C16" i="42"/>
  <c r="D15" i="41"/>
  <c r="E15" i="41" s="1"/>
  <c r="C17" i="41"/>
  <c r="I7" i="41" s="1"/>
  <c r="D8" i="41"/>
  <c r="E8" i="41" s="1"/>
  <c r="C10" i="41"/>
  <c r="H7" i="41" s="1"/>
  <c r="G12" i="30"/>
  <c r="G21" i="30" s="1"/>
  <c r="AB12" i="30"/>
  <c r="AA12" i="30"/>
  <c r="Z12" i="30"/>
  <c r="AB11" i="30"/>
  <c r="AA11" i="30"/>
  <c r="Z11" i="30"/>
  <c r="AB10" i="30"/>
  <c r="AA10" i="30"/>
  <c r="Z10" i="30"/>
  <c r="AB9" i="30"/>
  <c r="AA9" i="30"/>
  <c r="Z9" i="30"/>
  <c r="AB8" i="30"/>
  <c r="AA8" i="30"/>
  <c r="Z8" i="30"/>
  <c r="AB7" i="30"/>
  <c r="AA7" i="30"/>
  <c r="Z7" i="30"/>
  <c r="I23" i="29"/>
  <c r="H23" i="29"/>
  <c r="I19" i="29"/>
  <c r="H19" i="29"/>
  <c r="I15" i="29"/>
  <c r="G19" i="29"/>
  <c r="F19" i="29"/>
  <c r="G15" i="29"/>
  <c r="F15" i="29"/>
  <c r="E15" i="29"/>
  <c r="I73" i="37"/>
  <c r="H73" i="37"/>
  <c r="F73" i="37"/>
  <c r="E73" i="37"/>
  <c r="J56" i="37"/>
  <c r="J57" i="37"/>
  <c r="J58" i="37"/>
  <c r="J59" i="37"/>
  <c r="J60" i="37"/>
  <c r="J61" i="37"/>
  <c r="J62" i="37"/>
  <c r="J63" i="37"/>
  <c r="J65" i="37"/>
  <c r="J66" i="37"/>
  <c r="J67" i="37"/>
  <c r="J68" i="37"/>
  <c r="J69" i="37"/>
  <c r="J70" i="37"/>
  <c r="J71" i="37"/>
  <c r="J72" i="37"/>
  <c r="J55" i="37"/>
  <c r="G56" i="37"/>
  <c r="G57" i="37"/>
  <c r="G58" i="37"/>
  <c r="G59" i="37"/>
  <c r="G60" i="37"/>
  <c r="G61" i="37"/>
  <c r="G62" i="37"/>
  <c r="G63" i="37"/>
  <c r="G65" i="37"/>
  <c r="G66" i="37"/>
  <c r="G67" i="37"/>
  <c r="G68" i="37"/>
  <c r="G69" i="37"/>
  <c r="G70" i="37"/>
  <c r="G71" i="37"/>
  <c r="G72" i="37"/>
  <c r="G55" i="37"/>
  <c r="E51" i="37"/>
  <c r="F51" i="37"/>
  <c r="H51" i="37"/>
  <c r="I51" i="37"/>
  <c r="H5" i="35" l="1"/>
  <c r="I25" i="29"/>
  <c r="H25" i="29"/>
  <c r="F25" i="29"/>
  <c r="G25" i="29"/>
  <c r="E29" i="36"/>
  <c r="G73" i="37"/>
  <c r="M31" i="45"/>
  <c r="E29" i="45"/>
  <c r="E31" i="45" s="1"/>
  <c r="F29" i="45"/>
  <c r="F31" i="45" s="1"/>
  <c r="L31" i="45"/>
  <c r="G13" i="45"/>
  <c r="F26" i="45"/>
  <c r="F18" i="45"/>
  <c r="G44" i="45"/>
  <c r="G49" i="45" s="1"/>
  <c r="C49" i="45"/>
  <c r="D18" i="45"/>
  <c r="D26" i="45"/>
  <c r="C29" i="45"/>
  <c r="H31" i="45"/>
  <c r="E26" i="45"/>
  <c r="E18" i="45"/>
  <c r="G14" i="45"/>
  <c r="M26" i="45"/>
  <c r="J29" i="45"/>
  <c r="J31" i="45" s="1"/>
  <c r="G34" i="45"/>
  <c r="G45" i="45"/>
  <c r="C13" i="45"/>
  <c r="G22" i="45"/>
  <c r="G23" i="45" s="1"/>
  <c r="G47" i="45"/>
  <c r="H18" i="45"/>
  <c r="H26" i="45"/>
  <c r="I29" i="45"/>
  <c r="I18" i="45"/>
  <c r="J18" i="45"/>
  <c r="J73" i="37"/>
  <c r="G26" i="45" l="1"/>
  <c r="G18" i="45"/>
  <c r="C18" i="45"/>
  <c r="C26" i="45"/>
  <c r="I31" i="45"/>
  <c r="D29" i="45"/>
  <c r="D31" i="45" s="1"/>
  <c r="C31" i="45"/>
  <c r="G29" i="45" l="1"/>
  <c r="G31" i="45" s="1"/>
  <c r="J33" i="37" l="1"/>
  <c r="J34" i="37"/>
  <c r="G51" i="37"/>
  <c r="E29" i="37" l="1"/>
  <c r="F29" i="37"/>
  <c r="F30" i="37"/>
  <c r="E30" i="37"/>
  <c r="J51" i="37"/>
  <c r="J50" i="37"/>
  <c r="G50" i="37"/>
  <c r="J49" i="37"/>
  <c r="G49" i="37"/>
  <c r="J48" i="37"/>
  <c r="G48" i="37"/>
  <c r="J47" i="37"/>
  <c r="G47" i="37"/>
  <c r="J46" i="37"/>
  <c r="G46" i="37"/>
  <c r="J45" i="37"/>
  <c r="G45" i="37"/>
  <c r="J44" i="37"/>
  <c r="G44" i="37"/>
  <c r="J43" i="37"/>
  <c r="G43" i="37"/>
  <c r="J41" i="37"/>
  <c r="G41" i="37"/>
  <c r="J40" i="37"/>
  <c r="G40" i="37"/>
  <c r="J39" i="37"/>
  <c r="J38" i="37"/>
  <c r="G38" i="37"/>
  <c r="J37" i="37"/>
  <c r="G37" i="37"/>
  <c r="J36" i="37"/>
  <c r="G36" i="37"/>
  <c r="J35" i="37"/>
  <c r="G35" i="37"/>
  <c r="G34" i="37"/>
  <c r="G33" i="37"/>
  <c r="I31" i="37"/>
  <c r="H31" i="37"/>
  <c r="I30" i="37"/>
  <c r="H30" i="37"/>
  <c r="I29" i="37"/>
  <c r="H29" i="37"/>
  <c r="E31" i="37"/>
  <c r="F31" i="37"/>
  <c r="J12" i="37"/>
  <c r="J13" i="37"/>
  <c r="J15" i="37"/>
  <c r="J16" i="37"/>
  <c r="J17" i="37"/>
  <c r="J18" i="37"/>
  <c r="J19" i="37"/>
  <c r="J21" i="37"/>
  <c r="J22" i="37"/>
  <c r="J23" i="37"/>
  <c r="J24" i="37"/>
  <c r="J25" i="37"/>
  <c r="J26" i="37"/>
  <c r="J27" i="37"/>
  <c r="J28" i="37"/>
  <c r="J11" i="37"/>
  <c r="G12" i="37"/>
  <c r="G13" i="37"/>
  <c r="G15" i="37"/>
  <c r="G16" i="37"/>
  <c r="G17" i="37"/>
  <c r="G18" i="37"/>
  <c r="G19" i="37"/>
  <c r="G21" i="37"/>
  <c r="G22" i="37"/>
  <c r="G23" i="37"/>
  <c r="G24" i="37"/>
  <c r="G11" i="37"/>
  <c r="E7" i="37"/>
  <c r="E6" i="37"/>
  <c r="E5" i="37"/>
  <c r="E49" i="36"/>
  <c r="E50" i="36"/>
  <c r="E51" i="36"/>
  <c r="E52" i="36"/>
  <c r="E53" i="36"/>
  <c r="E54" i="36"/>
  <c r="E55" i="36"/>
  <c r="D56" i="36"/>
  <c r="C48" i="36"/>
  <c r="C56" i="36" s="1"/>
  <c r="B48" i="36"/>
  <c r="D39" i="36"/>
  <c r="C5" i="35"/>
  <c r="B56" i="36" l="1"/>
  <c r="E56" i="36"/>
  <c r="G30" i="37"/>
  <c r="G31" i="37"/>
  <c r="J29" i="37"/>
  <c r="J31" i="37"/>
  <c r="E48" i="36"/>
  <c r="J30" i="37"/>
  <c r="G29" i="37"/>
  <c r="O18" i="30"/>
  <c r="N18" i="30"/>
  <c r="M18" i="30"/>
  <c r="L18" i="30"/>
  <c r="K18" i="30"/>
  <c r="O15" i="30"/>
  <c r="N15" i="30"/>
  <c r="O14" i="30"/>
  <c r="N14" i="30"/>
  <c r="M12" i="30"/>
  <c r="M20" i="30" s="1"/>
  <c r="L12" i="30"/>
  <c r="L20" i="30" s="1"/>
  <c r="F9" i="36" s="1"/>
  <c r="I9" i="36" s="1"/>
  <c r="K12" i="30"/>
  <c r="K20" i="30" s="1"/>
  <c r="J12" i="30"/>
  <c r="J20" i="30" s="1"/>
  <c r="B9" i="36" s="1"/>
  <c r="O11" i="30"/>
  <c r="O10" i="30"/>
  <c r="O9" i="30"/>
  <c r="H12" i="30"/>
  <c r="H21" i="30" s="1"/>
  <c r="I12" i="30"/>
  <c r="I21" i="30" s="1"/>
  <c r="S26" i="27"/>
  <c r="S19" i="27"/>
  <c r="H14" i="27"/>
  <c r="E74" i="37" l="1"/>
  <c r="E75" i="37"/>
  <c r="E9" i="36"/>
  <c r="O12" i="30"/>
  <c r="O20" i="30" s="1"/>
  <c r="N12" i="30"/>
  <c r="N20" i="30" s="1"/>
  <c r="E26" i="27"/>
  <c r="D19" i="36" s="1"/>
  <c r="H75" i="37" l="1"/>
  <c r="H74" i="37"/>
  <c r="I52" i="37"/>
  <c r="I53" i="37"/>
  <c r="D14" i="27"/>
  <c r="D19" i="27" s="1"/>
  <c r="B17" i="36" s="1"/>
  <c r="I75" i="37" l="1"/>
  <c r="J75" i="37" s="1"/>
  <c r="I74" i="37"/>
  <c r="J74" i="37" s="1"/>
  <c r="J64" i="37"/>
  <c r="G23" i="29" l="1"/>
  <c r="F23" i="29"/>
  <c r="E23" i="29"/>
  <c r="D23" i="29"/>
  <c r="E19" i="29"/>
  <c r="E25" i="29" s="1"/>
  <c r="D19" i="29"/>
  <c r="D25" i="29" s="1"/>
  <c r="S36" i="27"/>
  <c r="S32" i="27"/>
  <c r="R36" i="27"/>
  <c r="Q36" i="27"/>
  <c r="P36" i="27"/>
  <c r="N36" i="27"/>
  <c r="M36" i="27"/>
  <c r="L36" i="27"/>
  <c r="J36" i="27"/>
  <c r="I36" i="27"/>
  <c r="H36" i="27"/>
  <c r="F36" i="27"/>
  <c r="E36" i="27"/>
  <c r="D36" i="27"/>
  <c r="R32" i="27"/>
  <c r="Q32" i="27"/>
  <c r="N32" i="27"/>
  <c r="L32" i="27"/>
  <c r="B39" i="36" s="1"/>
  <c r="K32" i="27"/>
  <c r="F32" i="27"/>
  <c r="C18" i="36" s="1"/>
  <c r="E18" i="36" s="1"/>
  <c r="D32" i="27"/>
  <c r="B18" i="36" s="1"/>
  <c r="R26" i="27"/>
  <c r="Q26" i="27"/>
  <c r="N26" i="27"/>
  <c r="C40" i="36" s="1"/>
  <c r="M26" i="27"/>
  <c r="L26" i="27"/>
  <c r="B40" i="36" s="1"/>
  <c r="J26" i="27"/>
  <c r="C30" i="36" s="1"/>
  <c r="I26" i="27"/>
  <c r="D30" i="36" s="1"/>
  <c r="H26" i="27"/>
  <c r="F26" i="27"/>
  <c r="C19" i="36" s="1"/>
  <c r="E19" i="36" s="1"/>
  <c r="D26" i="27"/>
  <c r="B19" i="36" s="1"/>
  <c r="O25" i="27"/>
  <c r="K25" i="27"/>
  <c r="O24" i="27"/>
  <c r="K24" i="27"/>
  <c r="G24" i="27"/>
  <c r="O23" i="27"/>
  <c r="K23" i="27"/>
  <c r="O22" i="27"/>
  <c r="K22" i="27"/>
  <c r="G22" i="27"/>
  <c r="M19" i="27"/>
  <c r="M39" i="27" s="1"/>
  <c r="J4" i="36" s="1"/>
  <c r="I19" i="27"/>
  <c r="D28" i="36" s="1"/>
  <c r="E19" i="27"/>
  <c r="D17" i="36" s="1"/>
  <c r="D20" i="36" s="1"/>
  <c r="D22" i="36" s="1"/>
  <c r="O17" i="27"/>
  <c r="K17" i="27"/>
  <c r="G17" i="27"/>
  <c r="O16" i="27"/>
  <c r="K16" i="27"/>
  <c r="G16" i="27"/>
  <c r="O15" i="27"/>
  <c r="K15" i="27"/>
  <c r="G15" i="27"/>
  <c r="R14" i="27"/>
  <c r="Q14" i="27"/>
  <c r="Q19" i="27" s="1"/>
  <c r="L14" i="27"/>
  <c r="J14" i="27"/>
  <c r="H19" i="27"/>
  <c r="B28" i="36" s="1"/>
  <c r="F14" i="27"/>
  <c r="G14" i="27" s="1"/>
  <c r="B30" i="36" l="1"/>
  <c r="H39" i="27"/>
  <c r="J19" i="27"/>
  <c r="C28" i="36" s="1"/>
  <c r="C31" i="36" s="1"/>
  <c r="K14" i="27"/>
  <c r="L19" i="27"/>
  <c r="L39" i="27" s="1"/>
  <c r="B4" i="35" s="1"/>
  <c r="Q39" i="27"/>
  <c r="D31" i="36"/>
  <c r="D33" i="36" s="1"/>
  <c r="J39" i="27"/>
  <c r="B20" i="36"/>
  <c r="B22" i="36" s="1"/>
  <c r="O32" i="27"/>
  <c r="C39" i="36"/>
  <c r="E39" i="36" s="1"/>
  <c r="S39" i="27"/>
  <c r="F5" i="36" s="1"/>
  <c r="I5" i="36" s="1"/>
  <c r="D9" i="41"/>
  <c r="E9" i="41" s="1"/>
  <c r="D16" i="41"/>
  <c r="E16" i="41" s="1"/>
  <c r="D40" i="36"/>
  <c r="E40" i="36" s="1"/>
  <c r="B31" i="36"/>
  <c r="B33" i="36" s="1"/>
  <c r="E30" i="36"/>
  <c r="D7" i="41"/>
  <c r="D14" i="41"/>
  <c r="D38" i="36"/>
  <c r="N19" i="27"/>
  <c r="E28" i="36"/>
  <c r="G32" i="27"/>
  <c r="G26" i="27"/>
  <c r="I39" i="27"/>
  <c r="O26" i="27"/>
  <c r="R19" i="27"/>
  <c r="P26" i="27"/>
  <c r="P32" i="27"/>
  <c r="K26" i="27"/>
  <c r="F19" i="27"/>
  <c r="C17" i="36" s="1"/>
  <c r="K19" i="27"/>
  <c r="P14" i="27"/>
  <c r="P19" i="27" s="1"/>
  <c r="K39" i="27" l="1"/>
  <c r="B38" i="36"/>
  <c r="B41" i="36" s="1"/>
  <c r="B43" i="36" s="1"/>
  <c r="C38" i="36"/>
  <c r="E38" i="36" s="1"/>
  <c r="N39" i="27"/>
  <c r="F7" i="36"/>
  <c r="I7" i="36" s="1"/>
  <c r="D41" i="36"/>
  <c r="D43" i="36" s="1"/>
  <c r="E14" i="41"/>
  <c r="D17" i="41"/>
  <c r="E17" i="41" s="1"/>
  <c r="E7" i="41"/>
  <c r="D10" i="41"/>
  <c r="E10" i="41" s="1"/>
  <c r="E7" i="36"/>
  <c r="O19" i="27"/>
  <c r="C33" i="36"/>
  <c r="E33" i="36" s="1"/>
  <c r="E31" i="36"/>
  <c r="N3" i="36" s="1"/>
  <c r="E17" i="36"/>
  <c r="C20" i="36"/>
  <c r="P39" i="27"/>
  <c r="G19" i="27"/>
  <c r="F12" i="30"/>
  <c r="F21" i="30" s="1"/>
  <c r="E12" i="30"/>
  <c r="E21" i="30" s="1"/>
  <c r="D21" i="30"/>
  <c r="C41" i="36" l="1"/>
  <c r="E41" i="36" s="1"/>
  <c r="C22" i="36"/>
  <c r="E22" i="36" s="1"/>
  <c r="E20" i="36"/>
  <c r="K38" i="27"/>
  <c r="C43" i="36" l="1"/>
  <c r="E43" i="36" s="1"/>
  <c r="M3" i="36" s="1"/>
  <c r="R39" i="27"/>
  <c r="E5" i="36" l="1"/>
  <c r="B5" i="35"/>
  <c r="E5" i="35" s="1"/>
  <c r="D39" i="27"/>
  <c r="E39" i="27"/>
  <c r="F39" i="27"/>
  <c r="B4" i="36" l="1"/>
  <c r="E4" i="35"/>
  <c r="F4" i="36"/>
  <c r="I4" i="36" s="1"/>
  <c r="G39" i="27"/>
  <c r="O39" i="27"/>
  <c r="F6" i="36" l="1"/>
  <c r="I6" i="36" s="1"/>
  <c r="E6" i="36"/>
  <c r="E53" i="37" l="1"/>
  <c r="E52" i="37"/>
  <c r="F52" i="37"/>
  <c r="G42" i="37" l="1"/>
  <c r="G52" i="37"/>
  <c r="H53" i="37"/>
  <c r="J53" i="37" s="1"/>
  <c r="H52" i="37"/>
  <c r="J52" i="37" s="1"/>
  <c r="J42" i="37"/>
  <c r="F53" i="37"/>
  <c r="G53" i="37" s="1"/>
  <c r="F75" i="37" l="1"/>
  <c r="G75" i="37" s="1"/>
  <c r="F74" i="37"/>
  <c r="G74" i="37" s="1"/>
  <c r="G6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tc={B3E47C3B-554E-4FA0-9791-B054ADB93643}</author>
    <author>tc={C38807D1-F57C-45BD-A61A-2231DEC573A8}</author>
    <author>tc={2DE90184-116B-4D2D-A635-838C638B9EA1}</author>
    <author>tc={2CD70DE1-A2FF-49B0-8A3D-56273D54E916}</author>
    <author>tc={BBF28651-DC74-44F2-8FAA-3F4230C81283}</author>
    <author>tc={B241B868-0E6D-4F2A-87A8-724E638F19DD}</author>
    <author>tc={562A44C5-2E8F-4AA5-8FD3-53E3882DD7CA}</author>
  </authors>
  <commentList>
    <comment ref="B5" authorId="0" shapeId="0" xr:uid="{B3E47C3B-554E-4FA0-9791-B054ADB93643}">
      <text>
        <t>[Threaded comment]
Your version of Excel allows you to read this threaded comment; however, any edits to it will get removed if the file is opened in a newer version of Excel. Learn more: https://go.microsoft.com/fwlink/?linkid=870924
Comment:
    David confirmed Behavioral merger fund budget via email, manually added</t>
      </text>
    </comment>
    <comment ref="C5" authorId="1" shapeId="0" xr:uid="{C38807D1-F57C-45BD-A61A-2231DEC573A8}">
      <text>
        <t>[Threaded comment]
Your version of Excel allows you to read this threaded comment; however, any edits to it will get removed if the file is opened in a newer version of Excel. Learn more: https://go.microsoft.com/fwlink/?linkid=870924
Comment:
    According to David Pirtle (Behavioral) and Bryan Kelly (QHEC) all merger funds were exhausted in PY2. Bryan stated that all QHEC merger funds went through incentive spend</t>
      </text>
    </comment>
    <comment ref="D5" authorId="2" shapeId="0" xr:uid="{2DE90184-116B-4D2D-A635-838C638B9EA1}">
      <text>
        <t>[Threaded comment]
Your version of Excel allows you to read this threaded comment; however, any edits to it will get removed if the file is opened in a newer version of Excel. Learn more: https://go.microsoft.com/fwlink/?linkid=870924
Comment:
    Behavioral Q1 &amp; Q2 manually added</t>
      </text>
    </comment>
    <comment ref="E5" authorId="3" shapeId="0" xr:uid="{2CD70DE1-A2FF-49B0-8A3D-56273D54E916}">
      <text>
        <t>[Threaded comment]
Your version of Excel allows you to read this threaded comment; however, any edits to it will get removed if the file is opened in a newer version of Excel. Learn more: https://go.microsoft.com/fwlink/?linkid=870924
Comment:
    Behavioral Q1 &amp; Q2 manually added</t>
      </text>
    </comment>
    <comment ref="F5" authorId="4" shapeId="0" xr:uid="{BBF28651-DC74-44F2-8FAA-3F4230C81283}">
      <text>
        <t>[Threaded comment]
Your version of Excel allows you to read this threaded comment; however, any edits to it will get removed if the file is opened in a newer version of Excel. Learn more: https://go.microsoft.com/fwlink/?linkid=870924
Comment:
    Behavioral Q1 &amp; Q2 manually added</t>
      </text>
    </comment>
    <comment ref="G5" authorId="5" shapeId="0" xr:uid="{B241B868-0E6D-4F2A-87A8-724E638F19DD}">
      <text>
        <t>[Threaded comment]
Your version of Excel allows you to read this threaded comment; however, any edits to it will get removed if the file is opened in a newer version of Excel. Learn more: https://go.microsoft.com/fwlink/?linkid=870924
Comment:
    Only showing therms saved for QHEC. Behavioral has no gas savings</t>
      </text>
    </comment>
    <comment ref="H5" authorId="6" shapeId="0" xr:uid="{562A44C5-2E8F-4AA5-8FD3-53E3882DD7CA}">
      <text>
        <t>[Threaded comment]
Your version of Excel allows you to read this threaded comment; however, any edits to it will get removed if the file is opened in a newer version of Excel. Learn more: https://go.microsoft.com/fwlink/?linkid=870924
Comment:
    Only showing therms saved for QHEC. Behavioral has no gas savings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Zerbe, Christopher</author>
  </authors>
  <commentList>
    <comment ref="B7" authorId="0" shapeId="0" xr:uid="{CA5271DB-5924-4E7E-8015-9AD421A721EF}">
      <text>
        <r>
          <rPr>
            <b/>
            <sz val="9"/>
            <color indexed="81"/>
            <rFont val="Tahoma"/>
            <family val="2"/>
          </rPr>
          <t>Zerbe, Christopher:</t>
        </r>
        <r>
          <rPr>
            <sz val="9"/>
            <color indexed="81"/>
            <rFont val="Tahoma"/>
            <family val="2"/>
          </rPr>
          <t xml:space="preserve">
1 superscript here but no note attached</t>
        </r>
      </text>
    </comment>
    <comment ref="B16" authorId="0" shapeId="0" xr:uid="{41EE8D10-E781-45A2-AA57-1E4867AACB89}">
      <text>
        <r>
          <rPr>
            <b/>
            <sz val="9"/>
            <color indexed="81"/>
            <rFont val="Tahoma"/>
            <family val="2"/>
          </rPr>
          <t>Zerbe, Christopher:</t>
        </r>
        <r>
          <rPr>
            <sz val="9"/>
            <color indexed="81"/>
            <rFont val="Tahoma"/>
            <family val="2"/>
          </rPr>
          <t xml:space="preserve">
2 superscript here but no note attached</t>
        </r>
      </text>
    </comment>
  </commentList>
</comments>
</file>

<file path=xl/sharedStrings.xml><?xml version="1.0" encoding="utf-8"?>
<sst xmlns="http://schemas.openxmlformats.org/spreadsheetml/2006/main" count="941" uniqueCount="399">
  <si>
    <t>Reporting Period</t>
  </si>
  <si>
    <t>FY23-Q4</t>
  </si>
  <si>
    <t>Program/Utility Information</t>
  </si>
  <si>
    <t>Participants</t>
  </si>
  <si>
    <r>
      <t xml:space="preserve">Budget &amp; Expenses </t>
    </r>
    <r>
      <rPr>
        <b/>
        <sz val="11"/>
        <color theme="1"/>
        <rFont val="Calibri"/>
        <family val="2"/>
        <scheme val="minor"/>
      </rPr>
      <t>($000)</t>
    </r>
  </si>
  <si>
    <t>Energy Savings</t>
  </si>
  <si>
    <t>Utility</t>
  </si>
  <si>
    <t>Sector</t>
  </si>
  <si>
    <t>Program</t>
  </si>
  <si>
    <t>Sub-Program</t>
  </si>
  <si>
    <t>YTD Reported Participation Number</t>
  </si>
  <si>
    <t>Annual Budget</t>
  </si>
  <si>
    <t>YTD Reported Incentive Costs</t>
  </si>
  <si>
    <t>YTD Reported Program Costs</t>
  </si>
  <si>
    <t>YTD Annual Electric Savings
(MWh)</t>
  </si>
  <si>
    <t>YTD Lifetime Electric Savings
(MWh)</t>
  </si>
  <si>
    <t>YTD Peak Demand Electric Savings
(MW)</t>
  </si>
  <si>
    <t>YTD Annual Gas Savings
(Dtherm)</t>
  </si>
  <si>
    <t>YTD Lifetime Gas Savings
(Dtherm)</t>
  </si>
  <si>
    <t>ACE</t>
  </si>
  <si>
    <t>Residential</t>
  </si>
  <si>
    <t>Efficient Products</t>
  </si>
  <si>
    <t>HVAC</t>
  </si>
  <si>
    <t>Appliance Rebates</t>
  </si>
  <si>
    <t>Appliance Recycling</t>
  </si>
  <si>
    <t>Online Marketplace</t>
  </si>
  <si>
    <t>Food Banks</t>
  </si>
  <si>
    <t>Others - Lighting</t>
  </si>
  <si>
    <t>Existing Homes</t>
  </si>
  <si>
    <t>HPwES</t>
  </si>
  <si>
    <t>Quick Home Energy Check-Up</t>
  </si>
  <si>
    <t>Moderate Income Weatherization</t>
  </si>
  <si>
    <t>Home Energy Education &amp; Management</t>
  </si>
  <si>
    <t>Behavioral</t>
  </si>
  <si>
    <t>Commercial</t>
  </si>
  <si>
    <t>Direct Install</t>
  </si>
  <si>
    <t>Energy Solutions for Business</t>
  </si>
  <si>
    <t>Prescriptive/Custom</t>
  </si>
  <si>
    <t>Energy Management</t>
  </si>
  <si>
    <t>Engineered Solutions</t>
  </si>
  <si>
    <t>Multi-Family</t>
  </si>
  <si>
    <t>Comfort Partners</t>
  </si>
  <si>
    <t>Supportive costs outside portfolio</t>
  </si>
  <si>
    <t>Utility-Administered Programs ex-ante energy savings 
(MWh)</t>
  </si>
  <si>
    <t>Comfort Partners ex-ante energy savings  (MWh)</t>
  </si>
  <si>
    <r>
      <t>Other Programs ex-ante energy savings  (MWh)</t>
    </r>
    <r>
      <rPr>
        <vertAlign val="superscript"/>
        <sz val="9"/>
        <color rgb="FFFFFFFF"/>
        <rFont val="Calibri"/>
        <family val="2"/>
        <scheme val="minor"/>
      </rPr>
      <t>1</t>
    </r>
  </si>
  <si>
    <t>Total ex-ante energy savings 
(MWh)</t>
  </si>
  <si>
    <r>
      <rPr>
        <sz val="9"/>
        <color rgb="FFFFFFFF"/>
        <rFont val="Calibri"/>
        <family val="2"/>
      </rPr>
      <t>Compliance Baseline  (MWh)</t>
    </r>
    <r>
      <rPr>
        <vertAlign val="superscript"/>
        <sz val="9"/>
        <color rgb="FFFFFFFF"/>
        <rFont val="Calibri"/>
        <family val="2"/>
      </rPr>
      <t>2</t>
    </r>
  </si>
  <si>
    <t>Annual Target
 (%)</t>
  </si>
  <si>
    <t>Annual Target 
(MWh)</t>
  </si>
  <si>
    <t xml:space="preserve">Percent of Annual Target 
(%) </t>
  </si>
  <si>
    <t>(A)</t>
  </si>
  <si>
    <t>(B)</t>
  </si>
  <si>
    <t xml:space="preserve">(C) </t>
  </si>
  <si>
    <t xml:space="preserve">(D) = (A)+(B)+(C) </t>
  </si>
  <si>
    <t>(E)</t>
  </si>
  <si>
    <t>(F)</t>
  </si>
  <si>
    <t>(G) = (E)*(F)</t>
  </si>
  <si>
    <t>(H) = (D) / (G)</t>
  </si>
  <si>
    <t>Quarter</t>
  </si>
  <si>
    <t>YTD</t>
  </si>
  <si>
    <t xml:space="preserve">1Other Programs include merger/legacy-committed EE programs – QHEC and Behavior. Note: Behavioral was only merger funded through Q2 of PY23.
2 Includes sales as reported on FERC Form-1, as adjusted for the given sales period (planning year).
3Pursuant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 </t>
  </si>
  <si>
    <t>Table 2 – Quantitative Performance Indicators</t>
  </si>
  <si>
    <t>Annual Energy Savings</t>
  </si>
  <si>
    <t>Expenditures</t>
  </si>
  <si>
    <t>Year to Date</t>
  </si>
  <si>
    <t>Utility-Administered Plan Year Results</t>
  </si>
  <si>
    <t>Comfort Partners Plan Year Results</t>
  </si>
  <si>
    <t>Other Programs Plan Year Results</t>
  </si>
  <si>
    <t>Total Plan Year Results</t>
  </si>
  <si>
    <t>Utility-Administered Plan Year Results YTD</t>
  </si>
  <si>
    <t>Comfort Partners Plan Year Results YTD</t>
  </si>
  <si>
    <t>Other Programs Plan Year Results YTD</t>
  </si>
  <si>
    <r>
      <t>Annual Target</t>
    </r>
    <r>
      <rPr>
        <vertAlign val="superscript"/>
        <sz val="9"/>
        <color rgb="FFFFFFFF"/>
        <rFont val="Calibri"/>
        <family val="2"/>
        <scheme val="minor"/>
      </rPr>
      <t>1</t>
    </r>
  </si>
  <si>
    <t>Percent of Annual Target Achieved</t>
  </si>
  <si>
    <t>Annual Energy Savings (MWh)</t>
  </si>
  <si>
    <t>Lifetime Savings (MWh)</t>
  </si>
  <si>
    <t>Annual Demand Savings (MW)</t>
  </si>
  <si>
    <t>Low/Moderate-Income Lifetime Savings (MWh)</t>
  </si>
  <si>
    <t>Small Commercial Lifetime Savings (MWh)</t>
  </si>
  <si>
    <r>
      <rPr>
        <vertAlign val="superscript"/>
        <sz val="9"/>
        <color rgb="FF000000"/>
        <rFont val="Times New Roman"/>
        <family val="1"/>
      </rPr>
      <t>1</t>
    </r>
    <r>
      <rPr>
        <sz val="9"/>
        <color rgb="FF000000"/>
        <rFont val="Times New Roman"/>
        <family val="1"/>
      </rPr>
      <t xml:space="preserve"> Annual Targets reflect estimated impacts as filed the Company's 2021-2024 Clean Energy Filing
</t>
    </r>
    <r>
      <rPr>
        <vertAlign val="superscript"/>
        <sz val="9"/>
        <color rgb="FF000000"/>
        <rFont val="Times New Roman"/>
        <family val="1"/>
      </rPr>
      <t xml:space="preserve">
</t>
    </r>
  </si>
  <si>
    <t>Table 3 – Sector-Level Participation</t>
  </si>
  <si>
    <r>
      <t>Sector</t>
    </r>
    <r>
      <rPr>
        <vertAlign val="superscript"/>
        <sz val="9"/>
        <color indexed="9"/>
        <rFont val="Calibri"/>
        <family val="2"/>
        <scheme val="minor"/>
      </rPr>
      <t>1</t>
    </r>
  </si>
  <si>
    <t>Quarter Participants</t>
  </si>
  <si>
    <t>YTD Participants</t>
  </si>
  <si>
    <t>Annual Forecasted Participants</t>
  </si>
  <si>
    <t>Percent of Annual Forecast</t>
  </si>
  <si>
    <t>Multifamily</t>
  </si>
  <si>
    <r>
      <t>C&amp;I</t>
    </r>
    <r>
      <rPr>
        <vertAlign val="superscript"/>
        <sz val="11"/>
        <color theme="1"/>
        <rFont val="Calibri"/>
        <family val="2"/>
        <scheme val="minor"/>
      </rPr>
      <t>2</t>
    </r>
  </si>
  <si>
    <t>Reported Totals for Utility Administered Programs</t>
  </si>
  <si>
    <r>
      <t>Comfort Partners</t>
    </r>
    <r>
      <rPr>
        <vertAlign val="superscript"/>
        <sz val="11"/>
        <color theme="1"/>
        <rFont val="Calibri"/>
        <family val="2"/>
        <scheme val="minor"/>
      </rPr>
      <t>3</t>
    </r>
  </si>
  <si>
    <t>Utility Total</t>
  </si>
  <si>
    <r>
      <rPr>
        <vertAlign val="superscript"/>
        <sz val="9"/>
        <color theme="1"/>
        <rFont val="Times New Roman"/>
        <family val="1"/>
      </rPr>
      <t>1</t>
    </r>
    <r>
      <rPr>
        <sz val="9"/>
        <color theme="1"/>
        <rFont val="Times New Roman"/>
        <family val="1"/>
      </rPr>
      <t xml:space="preserve"> Note that these numbers are totals across all programs within a sector.  The appendix shows the participation numbers for individual programs.  Participation from merger-funded programming is not omitted from these values.
</t>
    </r>
    <r>
      <rPr>
        <vertAlign val="superscript"/>
        <sz val="9"/>
        <color theme="1"/>
        <rFont val="Times New Roman"/>
        <family val="1"/>
      </rPr>
      <t xml:space="preserve">2 </t>
    </r>
    <r>
      <rPr>
        <sz val="9"/>
        <color theme="1"/>
        <rFont val="Times New Roman"/>
        <family val="1"/>
      </rPr>
      <t xml:space="preserve">The participant definition for the Prescriptive/Custom component of the Energy Solutions for Business program as agreed upon by the joint utilities represents the count of projects while the forecast established in ACE's filed plan represents the count of measures.
</t>
    </r>
    <r>
      <rPr>
        <vertAlign val="superscript"/>
        <sz val="9"/>
        <color theme="1"/>
        <rFont val="Times New Roman"/>
        <family val="1"/>
      </rPr>
      <t xml:space="preserve">3 </t>
    </r>
    <r>
      <rPr>
        <sz val="9"/>
        <color theme="1"/>
        <rFont val="Times New Roman"/>
        <family val="1"/>
      </rPr>
      <t>Comfort Partners, the primary program serving low-income customers, is co-managed by the BPU’s Division of Clean Energy in conjunction with ACE and the other investor-owned electric and gas utility companies.</t>
    </r>
  </si>
  <si>
    <t>Table 4 – Sector-Level Expenditures</t>
  </si>
  <si>
    <r>
      <t>Expenditures</t>
    </r>
    <r>
      <rPr>
        <vertAlign val="superscript"/>
        <sz val="9"/>
        <color indexed="9"/>
        <rFont val="Calibri"/>
        <family val="2"/>
        <scheme val="minor"/>
      </rPr>
      <t>1</t>
    </r>
  </si>
  <si>
    <t>Quarter Expenditures ($000)</t>
  </si>
  <si>
    <t>YTD Expenditures ($000)</t>
  </si>
  <si>
    <t>Annual Budget Expenditures ($000)</t>
  </si>
  <si>
    <t>Percent of Annual Budget</t>
  </si>
  <si>
    <t>C&amp;I</t>
  </si>
  <si>
    <r>
      <rPr>
        <vertAlign val="superscript"/>
        <sz val="9"/>
        <color rgb="FF000000"/>
        <rFont val="Times New Roman"/>
        <family val="1"/>
      </rPr>
      <t xml:space="preserve">1 </t>
    </r>
    <r>
      <rPr>
        <sz val="9"/>
        <color rgb="FF000000"/>
        <rFont val="Times New Roman"/>
        <family val="1"/>
      </rPr>
      <t>Expenditures include rebates, incentives, and loans, as well as program administration costs allocated across programs.  Expenditures from merger-funded programming and Supportive Costs Outside Portfolio are omitted from these values.</t>
    </r>
  </si>
  <si>
    <t>Table 5 – Sector-Level Energy Savings</t>
  </si>
  <si>
    <r>
      <t>Annual Energy Savings</t>
    </r>
    <r>
      <rPr>
        <vertAlign val="superscript"/>
        <sz val="9"/>
        <color indexed="9"/>
        <rFont val="Calibri"/>
        <family val="2"/>
        <scheme val="minor"/>
      </rPr>
      <t>1</t>
    </r>
  </si>
  <si>
    <t>Quarter Retail (MWh)</t>
  </si>
  <si>
    <t>YTD Retail (MWh)</t>
  </si>
  <si>
    <t>Annual Target Retail Savings (MWh)</t>
  </si>
  <si>
    <t>Percent of Annual Target</t>
  </si>
  <si>
    <t>N/A</t>
  </si>
  <si>
    <r>
      <rPr>
        <vertAlign val="superscript"/>
        <sz val="9"/>
        <color rgb="FF000000"/>
        <rFont val="Times New Roman"/>
        <family val="1"/>
      </rPr>
      <t xml:space="preserve">1 </t>
    </r>
    <r>
      <rPr>
        <sz val="9"/>
        <color rgb="FF000000"/>
        <rFont val="Times New Roman"/>
        <family val="1"/>
      </rPr>
      <t>Annal energy savings represent the total expected annual savings from all energy efficiency measures within each sector and includes savings from merger-funded programs.</t>
    </r>
  </si>
  <si>
    <t>Table 6 – Annual Costs and Budget Variances by Category</t>
  </si>
  <si>
    <r>
      <t>Total Utility EE/PDR</t>
    </r>
    <r>
      <rPr>
        <vertAlign val="superscript"/>
        <sz val="9"/>
        <color rgb="FFFFFFFF"/>
        <rFont val="Calibri"/>
        <family val="2"/>
        <scheme val="minor"/>
      </rPr>
      <t>1</t>
    </r>
  </si>
  <si>
    <t>Quarter Reported ($000)</t>
  </si>
  <si>
    <t>YTD Reported ($000)</t>
  </si>
  <si>
    <t>Full Year Budget ($000)</t>
  </si>
  <si>
    <r>
      <t>Percent of Annual Budget Spent</t>
    </r>
    <r>
      <rPr>
        <vertAlign val="superscript"/>
        <sz val="9"/>
        <color rgb="FFFFFFFF"/>
        <rFont val="Calibri"/>
        <family val="2"/>
        <scheme val="minor"/>
      </rPr>
      <t>2</t>
    </r>
  </si>
  <si>
    <t>Capital Costs</t>
  </si>
  <si>
    <t>Utility Administration</t>
  </si>
  <si>
    <t>Marketing</t>
  </si>
  <si>
    <t>Outside Services</t>
  </si>
  <si>
    <t>Rebates</t>
  </si>
  <si>
    <t>No- or Low-Interest Loans</t>
  </si>
  <si>
    <t>Evaluation, Measurement &amp; Verification ("EM&amp;V")</t>
  </si>
  <si>
    <t>Inspections &amp; Quality Control</t>
  </si>
  <si>
    <r>
      <rPr>
        <vertAlign val="superscript"/>
        <sz val="9"/>
        <color rgb="FF000000"/>
        <rFont val="Times New Roman"/>
        <family val="1"/>
      </rPr>
      <t>1</t>
    </r>
    <r>
      <rPr>
        <sz val="9"/>
        <color rgb="FF000000"/>
        <rFont val="Times New Roman"/>
        <family val="1"/>
      </rPr>
      <t xml:space="preserve"> Categories herein align to ACE’s EE plan as approved by the Board.
</t>
    </r>
    <r>
      <rPr>
        <vertAlign val="superscript"/>
        <sz val="9"/>
        <color rgb="FF000000"/>
        <rFont val="Times New Roman"/>
        <family val="1"/>
      </rPr>
      <t xml:space="preserve">2 </t>
    </r>
    <r>
      <rPr>
        <sz val="9"/>
        <color rgb="FF000000"/>
        <rFont val="Times New Roman"/>
        <family val="1"/>
      </rPr>
      <t>While annual budgets are used for informational purposes, the portfolio is managed to a total not-to-exceed amount established by cost category for the full triennial program cycle.</t>
    </r>
  </si>
  <si>
    <t>Table 7 – Equity Performance</t>
  </si>
  <si>
    <t>Territory-Level Benchmarks</t>
  </si>
  <si>
    <r>
      <t>Overburdened</t>
    </r>
    <r>
      <rPr>
        <vertAlign val="superscript"/>
        <sz val="9"/>
        <color indexed="9"/>
        <rFont val="Calibri"/>
        <family val="2"/>
        <scheme val="minor"/>
      </rPr>
      <t>1</t>
    </r>
  </si>
  <si>
    <t>Non-Overburdened</t>
  </si>
  <si>
    <r>
      <t>%OBC</t>
    </r>
    <r>
      <rPr>
        <vertAlign val="superscript"/>
        <sz val="9"/>
        <color rgb="FFFFFFFF"/>
        <rFont val="Calibri"/>
        <family val="2"/>
        <scheme val="minor"/>
      </rPr>
      <t>2</t>
    </r>
  </si>
  <si>
    <t>Population</t>
  </si>
  <si>
    <t># of Household Accounts</t>
  </si>
  <si>
    <t># of Business Accounts</t>
  </si>
  <si>
    <t>Total Annual Energy (MWh)</t>
  </si>
  <si>
    <t>Programs</t>
  </si>
  <si>
    <t>Sub Program or Offering</t>
  </si>
  <si>
    <t>Type of Program/Offering</t>
  </si>
  <si>
    <r>
      <t>Quarter Overburdened</t>
    </r>
    <r>
      <rPr>
        <vertAlign val="superscript"/>
        <sz val="9"/>
        <color indexed="9"/>
        <rFont val="Calibri"/>
        <family val="2"/>
        <scheme val="minor"/>
      </rPr>
      <t>1</t>
    </r>
  </si>
  <si>
    <t>Quarter Non-Overburdened</t>
  </si>
  <si>
    <r>
      <t>Annual Overburdened</t>
    </r>
    <r>
      <rPr>
        <vertAlign val="superscript"/>
        <sz val="9"/>
        <color indexed="9"/>
        <rFont val="Calibri"/>
        <family val="2"/>
        <scheme val="minor"/>
      </rPr>
      <t>1</t>
    </r>
  </si>
  <si>
    <t>Annual Non-Overburdened</t>
  </si>
  <si>
    <t>Residential - Efficient Products</t>
  </si>
  <si>
    <t>Core</t>
  </si>
  <si>
    <t>Residential - Existing Homes</t>
  </si>
  <si>
    <t>Home Performance with Energy Star</t>
  </si>
  <si>
    <t>Additional</t>
  </si>
  <si>
    <t>Res - Home Energy Education &amp; Management</t>
  </si>
  <si>
    <t xml:space="preserve"> </t>
  </si>
  <si>
    <t>C&amp;I Direct Install</t>
  </si>
  <si>
    <t xml:space="preserve">                       -  </t>
  </si>
  <si>
    <t>Total Core Participation</t>
  </si>
  <si>
    <t>Total Additional Participation</t>
  </si>
  <si>
    <t>Total Participation</t>
  </si>
  <si>
    <t>Total Core Annual Energy Savings</t>
  </si>
  <si>
    <t>Total Additional Annual Energy Savings</t>
  </si>
  <si>
    <t>Total Annual Energy Savings</t>
  </si>
  <si>
    <t>Lifetime Energy Savings (MWh)</t>
  </si>
  <si>
    <t>Total Core Lifetime Energy Savings</t>
  </si>
  <si>
    <t>Total Additional Lifetime Energy Savings</t>
  </si>
  <si>
    <t>Total Lifetime Energy Savings</t>
  </si>
  <si>
    <t>1 Across all programs, subprograms, or offerings, participation/savings are classified as either in a low-income Environmental Justice Overburdened Community census block or not based on the program participant’s address. Overburdened Community census blocks were developed and defined by the NJ Department of Environmental Protection (www.nj.gov/dep/ej/communities.html).                                                                                            2 The Ratio column shows the ratio of the overburdened metric over the non-overburdened metric. Comparing the territory-level benchmark ratios versus the program ratios shows how equitable the distribution of the program is between the overburdened and non-overburdened populations. If the program ratio is greater than the benchmark ratio, then the overburdened population is better represented in the program.</t>
  </si>
  <si>
    <t>Table 8 -  Benefit-Cost Test Results</t>
  </si>
  <si>
    <t>Initial</t>
  </si>
  <si>
    <t>Final</t>
  </si>
  <si>
    <t>NJCT</t>
  </si>
  <si>
    <t>PCT</t>
  </si>
  <si>
    <t>PACT</t>
  </si>
  <si>
    <t>RIMT</t>
  </si>
  <si>
    <t>TRCT</t>
  </si>
  <si>
    <t>SCT</t>
  </si>
  <si>
    <t>Portfolio Total</t>
  </si>
  <si>
    <t>Other Programs</t>
  </si>
  <si>
    <r>
      <rPr>
        <b/>
        <sz val="11"/>
        <color theme="1"/>
        <rFont val="Calibri"/>
        <family val="2"/>
        <scheme val="minor"/>
      </rPr>
      <t>Legacy Program Totals</t>
    </r>
    <r>
      <rPr>
        <sz val="11"/>
        <color theme="1"/>
        <rFont val="Calibri"/>
        <family val="2"/>
        <scheme val="minor"/>
      </rPr>
      <t xml:space="preserve"> (total all programs)</t>
    </r>
  </si>
  <si>
    <t>($000's)</t>
  </si>
  <si>
    <t>ELECTRIC SAVINGS - Installed</t>
  </si>
  <si>
    <t>GAS &amp; OTHER FUEL SAVINGS - Installed</t>
  </si>
  <si>
    <t>Total Budget</t>
  </si>
  <si>
    <t>Total Expenses</t>
  </si>
  <si>
    <t>Peak Demand Electric Savings (MW)</t>
  </si>
  <si>
    <t>Annual Electric Savings (MWh)</t>
  </si>
  <si>
    <t>Lifetime Electric Savings (MWh)</t>
  </si>
  <si>
    <t>Annual Gas Savings (MMBtu)</t>
  </si>
  <si>
    <t>Lifetime Gas Savings (MMBtu)</t>
  </si>
  <si>
    <t xml:space="preserve">In Word document only </t>
  </si>
  <si>
    <t>Energy Efficiency and PDR Savings Summary</t>
  </si>
  <si>
    <t>For Period Ending PY24 Q1</t>
  </si>
  <si>
    <t>Participation</t>
  </si>
  <si>
    <t>Actual Expenditures</t>
  </si>
  <si>
    <t>Ex Ante Energy Savings</t>
  </si>
  <si>
    <t>**Suplement for Annual Report</t>
  </si>
  <si>
    <t>A</t>
  </si>
  <si>
    <t>B</t>
  </si>
  <si>
    <t>C</t>
  </si>
  <si>
    <t>D=C/B</t>
  </si>
  <si>
    <t>E</t>
  </si>
  <si>
    <t>F</t>
  </si>
  <si>
    <t>G</t>
  </si>
  <si>
    <t>H=G/F</t>
  </si>
  <si>
    <t>I</t>
  </si>
  <si>
    <t>J</t>
  </si>
  <si>
    <t>K</t>
  </si>
  <si>
    <t>L=K/J</t>
  </si>
  <si>
    <t>M</t>
  </si>
  <si>
    <t>N</t>
  </si>
  <si>
    <t>O</t>
  </si>
  <si>
    <t>P</t>
  </si>
  <si>
    <t>Q</t>
  </si>
  <si>
    <t>R</t>
  </si>
  <si>
    <t>S</t>
  </si>
  <si>
    <t>Annual Forecasted Participation Number</t>
  </si>
  <si>
    <t>YTD % of Annual Participants</t>
  </si>
  <si>
    <t>Quarter ($000)</t>
  </si>
  <si>
    <t>Annual Forecasted Program Costs ($000) 2</t>
  </si>
  <si>
    <t>YTD Reported Program Costs ($000)</t>
  </si>
  <si>
    <t>YTD % of Annual Budget</t>
  </si>
  <si>
    <t>Quarter Annual Retail Energy Savings (MWh)</t>
  </si>
  <si>
    <t>Annual Forecasted Retail Energy Savings (MWh)</t>
  </si>
  <si>
    <t>YTD Reported Annual Retail Energy Savings (MWh)</t>
  </si>
  <si>
    <t>YTD % of Annual Energy Savings</t>
  </si>
  <si>
    <t>Quarter  Annual Wholesale Energy Savings (MWh)</t>
  </si>
  <si>
    <t>YTD Retail Peak Demand Savings (MW)</t>
  </si>
  <si>
    <t>Quarter Lifetime Retail Energy Savings (MWh)</t>
  </si>
  <si>
    <t>YTD Lifetime Retail Energy Savings (MWh)</t>
  </si>
  <si>
    <t>Current Quarter Retail Peak Demand Savings (MW)</t>
  </si>
  <si>
    <t>Current Quarter  Lifetime Wholesale Energy Savings (MWh)</t>
  </si>
  <si>
    <t>Current Quarter Wholesale Peak Demand Savings (MW)</t>
  </si>
  <si>
    <t>Count</t>
  </si>
  <si>
    <t>Sub-Programs</t>
  </si>
  <si>
    <t>Weighted Electric Losses - Energy</t>
  </si>
  <si>
    <t>Weighted Electric Losses - Demand</t>
  </si>
  <si>
    <t>Weighted Natural Gas Losses</t>
  </si>
  <si>
    <t>Residential Programs</t>
  </si>
  <si>
    <r>
      <t>Sub Program or Category</t>
    </r>
    <r>
      <rPr>
        <b/>
        <vertAlign val="superscript"/>
        <sz val="11"/>
        <color theme="1"/>
        <rFont val="Calibri"/>
        <family val="2"/>
        <scheme val="minor"/>
      </rPr>
      <t>1</t>
    </r>
  </si>
  <si>
    <t>Res</t>
  </si>
  <si>
    <t>Home Energy Reports</t>
  </si>
  <si>
    <t>Efficient Products*</t>
  </si>
  <si>
    <t xml:space="preserve"> N/A </t>
  </si>
  <si>
    <t>Existing Homes QHEC</t>
  </si>
  <si>
    <t>Existing Homes HPwES</t>
  </si>
  <si>
    <t>LMI</t>
  </si>
  <si>
    <t>MF</t>
  </si>
  <si>
    <t>Energy Solutions for Business: Prescriptive and Custom</t>
  </si>
  <si>
    <t>Subtotal Efficient Products</t>
  </si>
  <si>
    <t xml:space="preserve">Energy Solutions for Business: Engineered Solutions </t>
  </si>
  <si>
    <t>Home Performance with Energy Star*</t>
  </si>
  <si>
    <t xml:space="preserve">Direct Install </t>
  </si>
  <si>
    <r>
      <t>Quick Home Energy Check-Up</t>
    </r>
    <r>
      <rPr>
        <vertAlign val="superscript"/>
        <sz val="11"/>
        <rFont val="Calibri"/>
        <family val="2"/>
        <scheme val="minor"/>
      </rPr>
      <t>3</t>
    </r>
  </si>
  <si>
    <t xml:space="preserve">Energy Solutions for Business: Energy Management </t>
  </si>
  <si>
    <t>Portfolio</t>
  </si>
  <si>
    <t>Portfolio Costs</t>
  </si>
  <si>
    <t>Total Residential</t>
  </si>
  <si>
    <t>Business Programs</t>
  </si>
  <si>
    <t>Direct Install*</t>
  </si>
  <si>
    <r>
      <t>Prescriptive/Custom*</t>
    </r>
    <r>
      <rPr>
        <vertAlign val="superscript"/>
        <sz val="11"/>
        <color theme="1"/>
        <rFont val="Calibri"/>
        <family val="2"/>
        <scheme val="minor"/>
      </rPr>
      <t>4</t>
    </r>
  </si>
  <si>
    <t>Total Business</t>
  </si>
  <si>
    <t>Multi-Family*</t>
  </si>
  <si>
    <t>Prescriptive/Custom*</t>
  </si>
  <si>
    <t>Subtotal Multi-Family</t>
  </si>
  <si>
    <t>Home Optimization &amp; Peak Demand Reduction</t>
  </si>
  <si>
    <t>Total Other</t>
  </si>
  <si>
    <t>Supportive Costs Outside Portfolio</t>
  </si>
  <si>
    <t>Incentive Expenditures (Customer Rebates and Low/no-cost financing)</t>
  </si>
  <si>
    <t>D</t>
  </si>
  <si>
    <t>YTD Reported Incentive Costs ($000)</t>
  </si>
  <si>
    <t>YTD Reported Retail Energy Savings (MWh)</t>
  </si>
  <si>
    <t>Sub Program</t>
  </si>
  <si>
    <t>Non-LMI or Unverified</t>
  </si>
  <si>
    <t>Others</t>
  </si>
  <si>
    <r>
      <t>Home Performance with Energy Star</t>
    </r>
    <r>
      <rPr>
        <vertAlign val="superscript"/>
        <sz val="11"/>
        <rFont val="Calibri"/>
        <family val="2"/>
        <scheme val="minor"/>
      </rPr>
      <t>1,2</t>
    </r>
  </si>
  <si>
    <r>
      <t>Quick Home Energy Check-Up</t>
    </r>
    <r>
      <rPr>
        <vertAlign val="superscript"/>
        <sz val="11"/>
        <color theme="1"/>
        <rFont val="Calibri"/>
        <family val="2"/>
        <scheme val="minor"/>
      </rPr>
      <t>2</t>
    </r>
  </si>
  <si>
    <r>
      <t>Behavioral</t>
    </r>
    <r>
      <rPr>
        <vertAlign val="superscript"/>
        <sz val="11"/>
        <color theme="1"/>
        <rFont val="Calibri"/>
        <family val="2"/>
        <scheme val="minor"/>
      </rPr>
      <t>3</t>
    </r>
  </si>
  <si>
    <r>
      <t>Direct Installation/MF QHEC</t>
    </r>
    <r>
      <rPr>
        <vertAlign val="superscript"/>
        <sz val="11"/>
        <color theme="1"/>
        <rFont val="Calibri"/>
        <family val="2"/>
        <scheme val="minor"/>
      </rPr>
      <t>2</t>
    </r>
  </si>
  <si>
    <t>Total Multi-Family</t>
  </si>
  <si>
    <t>NONE</t>
  </si>
  <si>
    <t>LMI % assumption factor</t>
  </si>
  <si>
    <t>H</t>
  </si>
  <si>
    <t>L</t>
  </si>
  <si>
    <t>Reported Lifetime Retail Energy Savings Current Quarter (MWh)</t>
  </si>
  <si>
    <t>Reported Lifetime Retail Energy Savings YTD (MWh)</t>
  </si>
  <si>
    <t>Reported Lifetime Wholesale Energy Savings Current Quarter (MWh)</t>
  </si>
  <si>
    <t>Small Commercial</t>
  </si>
  <si>
    <t>Large Commercial</t>
  </si>
  <si>
    <t xml:space="preserve">                              -  </t>
  </si>
  <si>
    <t xml:space="preserve">Appendix E Annual Report Baseline Calculation </t>
  </si>
  <si>
    <t>Energy Efficiency Compliance Baselines and Benchmarks (MWh)</t>
  </si>
  <si>
    <t>Electric Utility</t>
  </si>
  <si>
    <t>Plan Year</t>
  </si>
  <si>
    <t>Sales Period</t>
  </si>
  <si>
    <t>Sales
(MWh)</t>
  </si>
  <si>
    <t>Adjustments
(MWh)</t>
  </si>
  <si>
    <t>Adjusted Retail Sales
(MWh)</t>
  </si>
  <si>
    <t>Compliance Baseline
(MWh)</t>
  </si>
  <si>
    <t>Overall Annual Energy Reduction Target (%)</t>
  </si>
  <si>
    <t>Overall Annual Energy Reduction Target (MWh)</t>
  </si>
  <si>
    <t>State-Administered Annual Energy Reduction Target (%)</t>
  </si>
  <si>
    <t>State-Administered Annual Energy Reduction Target (MWh)</t>
  </si>
  <si>
    <t>Utility-Administered Annual Energy Reduction Target (%)</t>
  </si>
  <si>
    <t>Utility-Administered Annual Energy Reduction Target (MWh)</t>
  </si>
  <si>
    <t>(C) = (A)-(B)</t>
  </si>
  <si>
    <t xml:space="preserve">(D) = Average (C) </t>
  </si>
  <si>
    <t>(F) = (E) * (D)</t>
  </si>
  <si>
    <t>(G)</t>
  </si>
  <si>
    <t>(H) = (G) * (D)</t>
  </si>
  <si>
    <t>(I)</t>
  </si>
  <si>
    <t>(J) = (I) * (D)</t>
  </si>
  <si>
    <t>7/1/20 - 6/30/21</t>
  </si>
  <si>
    <t>7/1/21 - 6/30/22</t>
  </si>
  <si>
    <t>7/1/22 - 6/30/23</t>
  </si>
  <si>
    <t>Notes:</t>
  </si>
  <si>
    <t>(A) Includes sales as reported on FERC Form-1, as adjusted for the given sales period (planning year)</t>
  </si>
  <si>
    <t>(B) ACE totals for resale</t>
  </si>
  <si>
    <t>(E,G,I) No formal targets were established for PY22 in the June 2020 CEA Framework Order</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</si>
  <si>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</si>
  <si>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</si>
  <si>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</si>
  <si>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r>
      <t>Annual Energy Savings</t>
    </r>
    <r>
      <rPr>
        <vertAlign val="superscript"/>
        <sz val="9"/>
        <color indexed="9"/>
        <rFont val="Calibri"/>
        <family val="2"/>
        <scheme val="minor"/>
      </rPr>
      <t>1</t>
    </r>
    <r>
      <rPr>
        <sz val="9"/>
        <color indexed="9"/>
        <rFont val="Calibri"/>
        <family val="2"/>
        <scheme val="minor"/>
      </rPr>
      <t>,</t>
    </r>
    <r>
      <rPr>
        <vertAlign val="superscript"/>
        <sz val="9"/>
        <color rgb="FFFFFFFF"/>
        <rFont val="Calibri"/>
        <family val="2"/>
        <scheme val="minor"/>
      </rPr>
      <t>2</t>
    </r>
  </si>
  <si>
    <t>Annual Retail (MWh)</t>
  </si>
  <si>
    <t>Primary Metrics - 2020/21  TRM</t>
  </si>
  <si>
    <t>Secondary Metrics - 2022 TRM</t>
  </si>
  <si>
    <t>Annual Savings</t>
  </si>
  <si>
    <t>Lifetime Savings</t>
  </si>
  <si>
    <t>Figure A-1 - Program Year [2022] Portfolio-Level Annual Energy Savings – Primary vs. Seondary Metrics</t>
  </si>
  <si>
    <t>Table F-2 – Sector-Level Energy Savings: Secondary Metrics from 2022 TRM Addendum</t>
  </si>
  <si>
    <r>
      <t>1</t>
    </r>
    <r>
      <rPr>
        <sz val="9"/>
        <color theme="1"/>
        <rFont val="Calibri"/>
        <family val="2"/>
        <scheme val="minor"/>
      </rPr>
      <t xml:space="preserve"> Annual energy savings represent the total expected annual savings from all energy efficiency measures within each sector, and not only those measures affected by the FY2022 TRM Addendum.</t>
    </r>
    <r>
      <rPr>
        <vertAlign val="superscript"/>
        <sz val="9"/>
        <color theme="1"/>
        <rFont val="Calibri"/>
        <family val="2"/>
        <scheme val="minor"/>
      </rPr>
      <t xml:space="preserve">
2</t>
    </r>
    <r>
      <rPr>
        <sz val="9"/>
        <color theme="1"/>
        <rFont val="Calibri"/>
        <family val="2"/>
        <scheme val="minor"/>
      </rPr>
      <t xml:space="preserve"> Residential sector includes savings from ACE merger committment programs.</t>
    </r>
  </si>
  <si>
    <t>Figure A-2 - Program Year [2022] Portfolio-Level Lifetime Energy Savings – Primary vs Secondary Metrics</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</si>
  <si>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</si>
  <si>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</si>
  <si>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ACE</t>
  </si>
  <si>
    <t>Dth held for transfer</t>
  </si>
  <si>
    <r>
      <t>Res Efficient Products</t>
    </r>
    <r>
      <rPr>
        <vertAlign val="superscript"/>
        <sz val="11"/>
        <color theme="1"/>
        <rFont val="Arial"/>
        <family val="2"/>
      </rPr>
      <t>1</t>
    </r>
  </si>
  <si>
    <r>
      <t xml:space="preserve">C&amp;I </t>
    </r>
    <r>
      <rPr>
        <sz val="11"/>
        <color rgb="FF000000"/>
        <rFont val="Arial"/>
        <family val="2"/>
      </rPr>
      <t>Prescriptive/Custom</t>
    </r>
  </si>
  <si>
    <t>C&amp;I Small Business Direct Install</t>
  </si>
  <si>
    <r>
      <t xml:space="preserve">C&amp;I </t>
    </r>
    <r>
      <rPr>
        <sz val="11"/>
        <color rgb="FF000000"/>
        <rFont val="Arial"/>
        <family val="2"/>
      </rPr>
      <t>Energy Management</t>
    </r>
  </si>
  <si>
    <r>
      <t xml:space="preserve">C&amp;I </t>
    </r>
    <r>
      <rPr>
        <sz val="11"/>
        <color rgb="FF000000"/>
        <rFont val="Arial"/>
        <family val="2"/>
      </rPr>
      <t>Engineered Solutions</t>
    </r>
  </si>
  <si>
    <r>
      <t>TOTAL</t>
    </r>
    <r>
      <rPr>
        <b/>
        <vertAlign val="superscript"/>
        <sz val="11"/>
        <color theme="1"/>
        <rFont val="Arial"/>
        <family val="2"/>
      </rPr>
      <t>2</t>
    </r>
  </si>
  <si>
    <t>Appendix H - Cost Effectiveness Test Details</t>
  </si>
  <si>
    <t>Business</t>
  </si>
  <si>
    <t xml:space="preserve">Other </t>
  </si>
  <si>
    <t>Total Portfolio</t>
  </si>
  <si>
    <t>Total Resource Cost Test (TRC)</t>
  </si>
  <si>
    <r>
      <t>Quarter Retail Savings</t>
    </r>
    <r>
      <rPr>
        <vertAlign val="superscript"/>
        <sz val="9"/>
        <color indexed="9"/>
        <rFont val="Calibri"/>
        <family val="2"/>
        <scheme val="minor"/>
      </rPr>
      <t>1</t>
    </r>
  </si>
  <si>
    <r>
      <t>YTD Retail Savings</t>
    </r>
    <r>
      <rPr>
        <vertAlign val="superscript"/>
        <sz val="9"/>
        <color indexed="9"/>
        <rFont val="Calibri"/>
        <family val="2"/>
        <scheme val="minor"/>
      </rPr>
      <t>2</t>
    </r>
  </si>
  <si>
    <r>
      <t>Quarter Whole Savings</t>
    </r>
    <r>
      <rPr>
        <vertAlign val="superscript"/>
        <sz val="9"/>
        <color indexed="9"/>
        <rFont val="Calibri"/>
        <family val="2"/>
        <scheme val="minor"/>
      </rPr>
      <t>3</t>
    </r>
  </si>
  <si>
    <r>
      <t>Energy Efficiency Baseline</t>
    </r>
    <r>
      <rPr>
        <vertAlign val="superscript"/>
        <sz val="9"/>
        <color indexed="9"/>
        <rFont val="Calibri"/>
        <family val="2"/>
        <scheme val="minor"/>
      </rPr>
      <t>4</t>
    </r>
  </si>
  <si>
    <t>Lost Revenue from Energy Savings (kWh)</t>
  </si>
  <si>
    <t>Lost Revenue fromPeak Demand Savings (kW)</t>
  </si>
  <si>
    <t>Lost Revenue from Gas Savings (Therms)</t>
  </si>
  <si>
    <t>Avoided Costs from Energy Savings (kWh)</t>
  </si>
  <si>
    <t>Avoided Costs from Demand Savings (kW)</t>
  </si>
  <si>
    <t>Avoided Costs from Gas Savings (Therms)</t>
  </si>
  <si>
    <t>Environmental Adder</t>
  </si>
  <si>
    <t>DRIPE</t>
  </si>
  <si>
    <t>Total Benefit = 1+2+3+4+5+6+7+8</t>
  </si>
  <si>
    <t>Administrative Costs</t>
  </si>
  <si>
    <t>Participant Incremental Costs</t>
  </si>
  <si>
    <t>Incentives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</si>
  <si>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</si>
  <si>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</si>
  <si>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</si>
  <si>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</si>
  <si>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</si>
  <si>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</si>
  <si>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</si>
  <si>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</si>
  <si>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</si>
  <si>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</si>
  <si>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</si>
  <si>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</si>
  <si>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</si>
  <si>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NEB Adder</t>
  </si>
  <si>
    <t>Lifetime Avoided Ancillary Services Costs</t>
  </si>
  <si>
    <t>Total Benefit = 16+17+18+19+20+21+22+23+24+25</t>
  </si>
  <si>
    <t>Total Costs = 26+27+28</t>
  </si>
  <si>
    <t>Benefit Cost Ratio = (16+17+18+19+20+21+22+23+24+25)/(26+27+28)</t>
  </si>
  <si>
    <t xml:space="preserve">Pilot Program </t>
  </si>
  <si>
    <t>Program Manager</t>
  </si>
  <si>
    <t>ETG</t>
  </si>
  <si>
    <t>JCPL</t>
  </si>
  <si>
    <t>NJNG</t>
  </si>
  <si>
    <t>PSEG</t>
  </si>
  <si>
    <t>RECO</t>
  </si>
  <si>
    <t>SJG</t>
  </si>
  <si>
    <t>Reporting Quarter &amp; Year</t>
  </si>
  <si>
    <t>FY22-Q1</t>
  </si>
  <si>
    <t>FY22-Q2</t>
  </si>
  <si>
    <t>FY22-Q3</t>
  </si>
  <si>
    <t>FY22-Q4</t>
  </si>
  <si>
    <t>FY23-Q1</t>
  </si>
  <si>
    <t>FY23-Q2</t>
  </si>
  <si>
    <t>FY23-Q3</t>
  </si>
  <si>
    <t>FY24-Q1</t>
  </si>
  <si>
    <t>FY24-Q2</t>
  </si>
  <si>
    <t>FY24-Q3</t>
  </si>
  <si>
    <t>FY24-Q4</t>
  </si>
  <si>
    <t>Plan Year 2024</t>
  </si>
  <si>
    <t>7/1/23 - 6/30/24</t>
  </si>
  <si>
    <r>
      <rPr>
        <vertAlign val="superscript"/>
        <sz val="11"/>
        <rFont val="Times New Roman"/>
        <family val="1"/>
      </rPr>
      <t>1</t>
    </r>
    <r>
      <rPr>
        <sz val="11"/>
        <rFont val="Times New Roman"/>
        <family val="1"/>
      </rPr>
      <t xml:space="preserve"> Income-qualified customers are directed to participate through the Comfort Partners or Moderate Income Weatherization programs.
2 In previous quarters, only low-income customers included in LMI values. LMI values include low and moderate-income customers for PY3 Q1 filing.
3 LMI assumption factor of 31.1% was used to calculate incentive costs.</t>
    </r>
  </si>
  <si>
    <r>
      <rPr>
        <vertAlign val="superscript"/>
        <sz val="10"/>
        <rFont val="Calibri"/>
        <family val="2"/>
        <scheme val="minor"/>
      </rPr>
      <t>1</t>
    </r>
    <r>
      <rPr>
        <sz val="10"/>
        <rFont val="Calibri"/>
        <family val="2"/>
        <scheme val="minor"/>
      </rPr>
      <t xml:space="preserve"> Subprograms provide relevant forecasts as included in the Company's approved EE/PDR Plans.  Program delivery elements are generally listed as categories for informational purposes only.
2 Annual Forecasted Program Costs reflect values anticipated in Board-approved Utility EE/PDR proposals and may incorporate budget adjustments as provided for in the June 10, 2020 Board Order.
3 Quick Home Energy Check-Up costs in PY3 are supported by merger funding. For consistency with the Company's approved plan, the costs and particpation counts for projects funded this way are excluded from the table above. Savings from these programs is included in this report as permitted by the June 10th Board Order.
4 The participant definition for the Prescriptive/Custom component of the Energy Solutions for Business program as agreed upon by the joint utilities represents the count of projects while the forecast established in ACE's filed plan represents the count of measures. 
* Denotes a core EE program. Home Performance with Energy Star only includes non-LMI; the comparable program for LMI participants is Comfort Partners, which is jointly administered by the State and Utilities.
</t>
    </r>
  </si>
  <si>
    <t>Lifetime Persisting Demand Savings (MW-year)</t>
  </si>
  <si>
    <t>Net Present Value of Utility Cost Test Net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</si>
</sst>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
    <numFmt numFmtId="169" formatCode="_(* #,##0.0_);_(* \(#,##0.0\);_(* &quot;-&quot;??_);_(@_)"/>
    <numFmt numFmtId="170" formatCode="0.000"/>
    <numFmt numFmtId="171" formatCode="_(* #,##0.000_);_(* \(#,##0.000\);_(* &quot;-&quot;???_);_(@_)"/>
    <numFmt numFmtId="172" formatCode="#,##0.000"/>
    <numFmt numFmtId="173" formatCode="#,##0.000_);\(#,##0.000\)"/>
    <numFmt numFmtId="174" formatCode="_(* #,##0.00000_);_(* \(#,##0.00000\);_(* &quot;-&quot;??_);_(@_)"/>
  </numFmts>
  <fonts count="6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b/>
      <sz val="11"/>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1"/>
      <color rgb="FF000000"/>
      <name val="Calibri"/>
      <family val="2"/>
    </font>
    <font>
      <vertAlign val="superscript"/>
      <sz val="11"/>
      <color theme="1"/>
      <name val="Calibri"/>
      <family val="2"/>
      <scheme val="minor"/>
    </font>
    <font>
      <sz val="11"/>
      <color rgb="FF006100"/>
      <name val="Calibri"/>
      <family val="2"/>
      <scheme val="minor"/>
    </font>
    <font>
      <sz val="11"/>
      <color rgb="FF000000"/>
      <name val="Calibri"/>
      <family val="2"/>
      <scheme val="minor"/>
    </font>
    <font>
      <b/>
      <sz val="10"/>
      <name val="Arial"/>
      <family val="2"/>
    </font>
    <font>
      <sz val="11"/>
      <name val="Calibri"/>
      <family val="2"/>
    </font>
    <font>
      <vertAlign val="superscript"/>
      <sz val="9"/>
      <color indexed="9"/>
      <name val="Calibri"/>
      <family val="2"/>
      <scheme val="minor"/>
    </font>
    <font>
      <sz val="11"/>
      <color theme="0"/>
      <name val="Calibri"/>
      <family val="2"/>
      <scheme val="minor"/>
    </font>
    <font>
      <strike/>
      <sz val="11"/>
      <color theme="1"/>
      <name val="Calibri"/>
      <family val="2"/>
      <scheme val="minor"/>
    </font>
    <font>
      <sz val="11"/>
      <name val="Arial Black"/>
      <family val="2"/>
    </font>
    <font>
      <u/>
      <sz val="16"/>
      <name val="Arial Black"/>
      <family val="2"/>
    </font>
    <font>
      <b/>
      <sz val="11"/>
      <name val="Calibri "/>
    </font>
    <font>
      <b/>
      <sz val="12"/>
      <color indexed="9"/>
      <name val="Calibri"/>
      <family val="2"/>
      <scheme val="minor"/>
    </font>
    <font>
      <sz val="12"/>
      <name val="Calibri"/>
      <family val="2"/>
      <scheme val="minor"/>
    </font>
    <font>
      <b/>
      <sz val="12"/>
      <name val="Calibri"/>
      <family val="2"/>
      <scheme val="minor"/>
    </font>
    <font>
      <sz val="12"/>
      <color theme="1"/>
      <name val="Calibri"/>
      <family val="2"/>
      <scheme val="minor"/>
    </font>
    <font>
      <sz val="12"/>
      <color rgb="FF000000"/>
      <name val="Calibri"/>
      <family val="2"/>
      <scheme val="minor"/>
    </font>
    <font>
      <sz val="11"/>
      <color theme="1"/>
      <name val="Arial"/>
      <family val="2"/>
    </font>
    <font>
      <b/>
      <sz val="14"/>
      <color theme="1"/>
      <name val="Arial"/>
      <family val="2"/>
    </font>
    <font>
      <b/>
      <sz val="14"/>
      <name val="Arial"/>
      <family val="2"/>
    </font>
    <font>
      <sz val="11"/>
      <name val="Arial"/>
      <family val="2"/>
    </font>
    <font>
      <sz val="12"/>
      <color rgb="FF000000"/>
      <name val="Times New Roman"/>
      <family val="1"/>
    </font>
    <font>
      <vertAlign val="superscript"/>
      <sz val="11"/>
      <color theme="1"/>
      <name val="Arial"/>
      <family val="2"/>
    </font>
    <font>
      <b/>
      <sz val="11"/>
      <color theme="1"/>
      <name val="Arial"/>
      <family val="2"/>
    </font>
    <font>
      <sz val="11"/>
      <color theme="1"/>
      <name val="Times New Roman"/>
      <family val="1"/>
    </font>
    <font>
      <sz val="9"/>
      <color theme="1"/>
      <name val="Times New Roman"/>
      <family val="1"/>
    </font>
    <font>
      <vertAlign val="superscript"/>
      <sz val="9"/>
      <color theme="1"/>
      <name val="Times New Roman"/>
      <family val="1"/>
    </font>
    <font>
      <sz val="9"/>
      <color theme="1"/>
      <name val="Calibri"/>
      <family val="2"/>
      <scheme val="minor"/>
    </font>
    <font>
      <sz val="11"/>
      <color indexed="9"/>
      <name val="Times New Roman"/>
      <family val="1"/>
    </font>
    <font>
      <b/>
      <sz val="11"/>
      <color theme="1"/>
      <name val="Times New Roman"/>
      <family val="1"/>
    </font>
    <font>
      <vertAlign val="superscript"/>
      <sz val="9"/>
      <color theme="1"/>
      <name val="Calibri"/>
      <family val="2"/>
      <scheme val="minor"/>
    </font>
    <font>
      <sz val="11"/>
      <name val="Times New Roman"/>
      <family val="1"/>
    </font>
    <font>
      <vertAlign val="superscript"/>
      <sz val="11"/>
      <name val="Times New Roman"/>
      <family val="1"/>
    </font>
    <font>
      <b/>
      <sz val="11"/>
      <color rgb="FF000000"/>
      <name val="Calibri"/>
      <family val="2"/>
      <scheme val="minor"/>
    </font>
    <font>
      <sz val="11"/>
      <color rgb="FF7030A0"/>
      <name val="Calibri"/>
      <family val="2"/>
      <scheme val="minor"/>
    </font>
    <font>
      <sz val="11"/>
      <color rgb="FF000000"/>
      <name val="Arial"/>
      <family val="2"/>
    </font>
    <font>
      <b/>
      <vertAlign val="superscript"/>
      <sz val="11"/>
      <color theme="1"/>
      <name val="Arial"/>
      <family val="2"/>
    </font>
    <font>
      <b/>
      <sz val="11"/>
      <name val="Times New Roman"/>
      <family val="1"/>
    </font>
    <font>
      <vertAlign val="superscript"/>
      <sz val="9"/>
      <color rgb="FF000000"/>
      <name val="Times New Roman"/>
      <family val="1"/>
    </font>
    <font>
      <sz val="9"/>
      <color rgb="FF000000"/>
      <name val="Times New Roman"/>
      <family val="1"/>
    </font>
    <font>
      <sz val="9"/>
      <color rgb="FFFFFFFF"/>
      <name val="Calibri"/>
      <family val="2"/>
    </font>
    <font>
      <vertAlign val="superscript"/>
      <sz val="9"/>
      <color rgb="FFFFFFFF"/>
      <name val="Calibri"/>
      <family val="2"/>
    </font>
    <font>
      <b/>
      <sz val="11"/>
      <color rgb="FF000000"/>
      <name val="Calibri"/>
      <family val="2"/>
    </font>
    <font>
      <sz val="9"/>
      <color indexed="81"/>
      <name val="Tahoma"/>
      <family val="2"/>
    </font>
    <font>
      <b/>
      <sz val="9"/>
      <color indexed="81"/>
      <name val="Tahoma"/>
      <family val="2"/>
    </font>
    <font>
      <sz val="8"/>
      <name val="Calibri"/>
      <family val="2"/>
      <scheme val="minor"/>
    </font>
    <font>
      <sz val="11"/>
      <color rgb="FF000000"/>
      <name val="Calibri"/>
      <family val="2"/>
    </font>
    <font>
      <b/>
      <sz val="11"/>
      <color rgb="FF000000"/>
      <name val="Calibri"/>
      <family val="2"/>
    </font>
    <font>
      <sz val="10"/>
      <name val="Calibri"/>
      <family val="2"/>
      <scheme val="minor"/>
    </font>
    <font>
      <vertAlign val="superscript"/>
      <sz val="10"/>
      <name val="Calibri"/>
      <family val="2"/>
      <scheme val="minor"/>
    </font>
    <font>
      <sz val="10"/>
      <color rgb="FF000000"/>
      <name val="Calibri"/>
      <family val="2"/>
      <scheme val="minor"/>
    </font>
    <font>
      <sz val="10"/>
      <color theme="1"/>
      <name val="Calibri"/>
      <family val="2"/>
      <scheme val="minor"/>
    </font>
  </fonts>
  <fills count="3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A6A6A6"/>
        <bgColor indexed="64"/>
      </patternFill>
    </fill>
    <fill>
      <patternFill patternType="solid">
        <fgColor indexed="22"/>
        <bgColor indexed="64"/>
      </patternFill>
    </fill>
    <fill>
      <patternFill patternType="solid">
        <fgColor theme="2"/>
        <bgColor indexed="64"/>
      </patternFill>
    </fill>
    <fill>
      <patternFill patternType="solid">
        <fgColor theme="6" tint="0.79998168889431442"/>
        <bgColor indexed="64"/>
      </patternFill>
    </fill>
    <fill>
      <patternFill patternType="solid">
        <fgColor theme="6"/>
        <bgColor indexed="64"/>
      </patternFill>
    </fill>
    <fill>
      <patternFill patternType="solid">
        <fgColor rgb="FFFFF2CC"/>
        <bgColor rgb="FF000000"/>
      </patternFill>
    </fill>
    <fill>
      <patternFill patternType="solid">
        <fgColor rgb="FFA5A5A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F2CC"/>
        <bgColor indexed="64"/>
      </patternFill>
    </fill>
    <fill>
      <patternFill patternType="solid">
        <fgColor theme="4" tint="0.79995117038483843"/>
        <bgColor indexed="64"/>
      </patternFill>
    </fill>
    <fill>
      <patternFill patternType="solid">
        <fgColor rgb="FFD4AB16"/>
        <bgColor indexed="64"/>
      </patternFill>
    </fill>
    <fill>
      <patternFill patternType="solid">
        <fgColor theme="4" tint="0.59999389629810485"/>
        <bgColor indexed="64"/>
      </patternFill>
    </fill>
    <fill>
      <patternFill patternType="solid">
        <fgColor rgb="FFBFBFBF"/>
        <bgColor rgb="FF000000"/>
      </patternFill>
    </fill>
  </fills>
  <borders count="14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rgb="FF000000"/>
      </bottom>
      <diagonal/>
    </border>
    <border>
      <left style="medium">
        <color indexed="64"/>
      </left>
      <right/>
      <top style="medium">
        <color indexed="64"/>
      </top>
      <bottom style="medium">
        <color rgb="FF000000"/>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rgb="FF000000"/>
      </left>
      <right/>
      <top style="medium">
        <color rgb="FF000000"/>
      </top>
      <bottom style="thin">
        <color rgb="FF000000"/>
      </bottom>
      <diagonal/>
    </border>
    <border>
      <left style="thin">
        <color rgb="FF000000"/>
      </left>
      <right style="thin">
        <color indexed="64"/>
      </right>
      <top style="thin">
        <color indexed="64"/>
      </top>
      <bottom/>
      <diagonal/>
    </border>
    <border>
      <left style="medium">
        <color rgb="FF000000"/>
      </left>
      <right/>
      <top/>
      <bottom style="medium">
        <color rgb="FF000000"/>
      </bottom>
      <diagonal/>
    </border>
    <border>
      <left style="thin">
        <color rgb="FF000000"/>
      </left>
      <right style="thin">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style="medium">
        <color rgb="FF000000"/>
      </top>
      <bottom/>
      <diagonal/>
    </border>
    <border>
      <left/>
      <right style="medium">
        <color indexed="64"/>
      </right>
      <top style="medium">
        <color rgb="FF000000"/>
      </top>
      <bottom/>
      <diagonal/>
    </border>
    <border>
      <left/>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medium">
        <color rgb="FF000000"/>
      </right>
      <top style="medium">
        <color indexed="64"/>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bottom/>
      <diagonal/>
    </border>
    <border>
      <left style="thin">
        <color indexed="64"/>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medium">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style="medium">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top style="thin">
        <color rgb="FF000000"/>
      </top>
      <bottom style="medium">
        <color rgb="FF000000"/>
      </bottom>
      <diagonal/>
    </border>
    <border>
      <left style="thin">
        <color indexed="64"/>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6" fillId="10" borderId="0" applyNumberFormat="0" applyBorder="0" applyAlignment="0" applyProtection="0"/>
    <xf numFmtId="0" fontId="9" fillId="0" borderId="0"/>
    <xf numFmtId="0" fontId="23" fillId="0" borderId="0"/>
    <xf numFmtId="0" fontId="31" fillId="0" borderId="0"/>
    <xf numFmtId="0" fontId="9" fillId="0" borderId="0">
      <alignment vertical="top"/>
    </xf>
    <xf numFmtId="0" fontId="1" fillId="0" borderId="0"/>
  </cellStyleXfs>
  <cellXfs count="996">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3" borderId="10" xfId="0" applyFont="1" applyFill="1" applyBorder="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0" fillId="0" borderId="18"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6" xfId="0" applyFont="1" applyFill="1" applyBorder="1"/>
    <xf numFmtId="164" fontId="3" fillId="3" borderId="39" xfId="1" applyNumberFormat="1" applyFont="1" applyFill="1" applyBorder="1" applyAlignment="1"/>
    <xf numFmtId="0" fontId="7" fillId="2" borderId="42"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0" xfId="0" applyFont="1" applyFill="1" applyAlignment="1">
      <alignment horizontal="center" vertical="center" wrapText="1"/>
    </xf>
    <xf numFmtId="164" fontId="7" fillId="2" borderId="30" xfId="1" applyNumberFormat="1" applyFont="1" applyFill="1" applyBorder="1" applyAlignment="1">
      <alignment horizontal="center" vertical="center" wrapText="1"/>
    </xf>
    <xf numFmtId="0" fontId="0" fillId="0" borderId="50"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7" fillId="2" borderId="34" xfId="0" applyFont="1" applyFill="1" applyBorder="1" applyAlignment="1">
      <alignment horizontal="center" vertical="center" wrapText="1"/>
    </xf>
    <xf numFmtId="9" fontId="0" fillId="0" borderId="0" xfId="3" applyFont="1" applyFill="1" applyBorder="1"/>
    <xf numFmtId="0" fontId="0" fillId="0" borderId="51"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58" xfId="0" applyFont="1" applyFill="1" applyBorder="1"/>
    <xf numFmtId="0" fontId="3" fillId="3" borderId="53" xfId="0" applyFont="1" applyFill="1" applyBorder="1"/>
    <xf numFmtId="0" fontId="0" fillId="2" borderId="57" xfId="0" applyFill="1" applyBorder="1" applyAlignment="1">
      <alignment vertical="center" wrapText="1"/>
    </xf>
    <xf numFmtId="0" fontId="3" fillId="3" borderId="46" xfId="0" applyFont="1" applyFill="1" applyBorder="1"/>
    <xf numFmtId="0" fontId="3" fillId="3" borderId="48" xfId="0" applyFont="1" applyFill="1" applyBorder="1"/>
    <xf numFmtId="0" fontId="3" fillId="3" borderId="62" xfId="0" applyFont="1" applyFill="1" applyBorder="1"/>
    <xf numFmtId="0" fontId="0" fillId="2" borderId="49" xfId="0" applyFill="1" applyBorder="1" applyAlignment="1">
      <alignment vertical="center" wrapText="1"/>
    </xf>
    <xf numFmtId="0" fontId="0" fillId="2" borderId="33" xfId="0" applyFill="1" applyBorder="1" applyAlignment="1">
      <alignment vertical="center" wrapText="1"/>
    </xf>
    <xf numFmtId="0" fontId="6" fillId="7" borderId="5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3" fillId="3" borderId="58" xfId="0" applyFont="1" applyFill="1" applyBorder="1" applyAlignment="1">
      <alignment horizontal="center" vertical="center"/>
    </xf>
    <xf numFmtId="0" fontId="7" fillId="2" borderId="38" xfId="0" applyFont="1" applyFill="1" applyBorder="1" applyAlignment="1">
      <alignment horizontal="center" vertical="center" wrapText="1"/>
    </xf>
    <xf numFmtId="0" fontId="3" fillId="3" borderId="44" xfId="0" applyFont="1" applyFill="1" applyBorder="1"/>
    <xf numFmtId="0" fontId="0" fillId="2" borderId="34" xfId="0" applyFill="1" applyBorder="1" applyAlignment="1">
      <alignment vertical="center" wrapText="1"/>
    </xf>
    <xf numFmtId="0" fontId="0" fillId="2" borderId="65" xfId="0" applyFill="1" applyBorder="1" applyAlignment="1">
      <alignment vertical="center" wrapText="1"/>
    </xf>
    <xf numFmtId="0" fontId="7" fillId="7" borderId="21" xfId="0" applyFont="1" applyFill="1" applyBorder="1" applyAlignment="1">
      <alignment horizontal="center" vertical="center" wrapText="1"/>
    </xf>
    <xf numFmtId="0" fontId="7" fillId="7" borderId="64" xfId="0" applyFont="1" applyFill="1" applyBorder="1" applyAlignment="1">
      <alignment horizontal="center" vertical="center" wrapText="1"/>
    </xf>
    <xf numFmtId="0" fontId="0" fillId="5" borderId="56" xfId="0" applyFill="1" applyBorder="1" applyAlignment="1">
      <alignment horizontal="left" vertical="center" wrapText="1"/>
    </xf>
    <xf numFmtId="0" fontId="0" fillId="5" borderId="41" xfId="0" applyFill="1" applyBorder="1" applyAlignment="1">
      <alignment horizontal="left" vertical="center" wrapText="1"/>
    </xf>
    <xf numFmtId="0" fontId="3" fillId="3" borderId="5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0" fillId="0" borderId="26" xfId="0" applyBorder="1" applyAlignment="1">
      <alignment horizontal="left" vertical="center" wrapText="1"/>
    </xf>
    <xf numFmtId="0" fontId="0" fillId="0" borderId="21" xfId="0" applyBorder="1"/>
    <xf numFmtId="0" fontId="0" fillId="0" borderId="38" xfId="0" applyBorder="1"/>
    <xf numFmtId="0" fontId="0" fillId="0" borderId="57" xfId="0" applyBorder="1" applyAlignment="1">
      <alignment horizontal="left" vertical="center" wrapText="1"/>
    </xf>
    <xf numFmtId="0" fontId="0" fillId="0" borderId="67" xfId="0" applyBorder="1" applyAlignment="1">
      <alignment vertical="center" wrapText="1"/>
    </xf>
    <xf numFmtId="0" fontId="0" fillId="0" borderId="55" xfId="0" applyBorder="1" applyAlignment="1">
      <alignment horizontal="left" vertical="center" wrapText="1"/>
    </xf>
    <xf numFmtId="0" fontId="0" fillId="0" borderId="26" xfId="0" applyBorder="1" applyAlignment="1">
      <alignment vertical="center" wrapText="1"/>
    </xf>
    <xf numFmtId="0" fontId="0" fillId="0" borderId="58" xfId="0" applyBorder="1" applyAlignment="1">
      <alignment horizontal="left" vertical="center" wrapText="1"/>
    </xf>
    <xf numFmtId="165" fontId="3" fillId="3" borderId="58" xfId="0" applyNumberFormat="1" applyFont="1" applyFill="1" applyBorder="1" applyAlignment="1">
      <alignment horizontal="center"/>
    </xf>
    <xf numFmtId="165" fontId="3" fillId="3" borderId="49" xfId="0" applyNumberFormat="1" applyFont="1" applyFill="1" applyBorder="1" applyAlignment="1">
      <alignment horizontal="center"/>
    </xf>
    <xf numFmtId="165" fontId="3" fillId="3" borderId="54" xfId="0" applyNumberFormat="1" applyFont="1" applyFill="1" applyBorder="1" applyAlignment="1">
      <alignment horizontal="center"/>
    </xf>
    <xf numFmtId="165" fontId="3" fillId="3" borderId="39" xfId="0" applyNumberFormat="1" applyFont="1" applyFill="1" applyBorder="1" applyAlignment="1">
      <alignment horizontal="center"/>
    </xf>
    <xf numFmtId="165" fontId="0" fillId="2" borderId="45" xfId="0" applyNumberFormat="1" applyFill="1" applyBorder="1" applyAlignment="1">
      <alignment horizontal="center" vertical="center" wrapText="1"/>
    </xf>
    <xf numFmtId="165" fontId="0" fillId="2" borderId="24" xfId="0" applyNumberFormat="1" applyFill="1" applyBorder="1" applyAlignment="1">
      <alignment horizontal="center" vertical="center" wrapText="1"/>
    </xf>
    <xf numFmtId="165" fontId="0" fillId="2" borderId="8" xfId="0" applyNumberFormat="1" applyFill="1" applyBorder="1" applyAlignment="1">
      <alignment horizontal="center" vertical="center" wrapText="1"/>
    </xf>
    <xf numFmtId="165" fontId="3" fillId="3" borderId="62" xfId="0" applyNumberFormat="1" applyFont="1" applyFill="1" applyBorder="1" applyAlignment="1">
      <alignment horizontal="center"/>
    </xf>
    <xf numFmtId="165" fontId="3" fillId="3" borderId="30" xfId="0" applyNumberFormat="1" applyFont="1" applyFill="1" applyBorder="1" applyAlignment="1">
      <alignment horizontal="center"/>
    </xf>
    <xf numFmtId="165" fontId="0" fillId="2" borderId="33" xfId="0" applyNumberFormat="1" applyFill="1" applyBorder="1" applyAlignment="1">
      <alignment horizontal="center" vertical="center" wrapText="1"/>
    </xf>
    <xf numFmtId="165" fontId="0" fillId="2" borderId="49" xfId="0" applyNumberFormat="1" applyFill="1" applyBorder="1" applyAlignment="1">
      <alignment horizontal="center" vertical="center" wrapText="1"/>
    </xf>
    <xf numFmtId="165" fontId="3" fillId="3" borderId="10" xfId="0" applyNumberFormat="1" applyFont="1" applyFill="1" applyBorder="1" applyAlignment="1">
      <alignment horizontal="center"/>
    </xf>
    <xf numFmtId="165" fontId="3" fillId="3" borderId="13" xfId="0" applyNumberFormat="1" applyFont="1" applyFill="1" applyBorder="1" applyAlignment="1">
      <alignment horizontal="center"/>
    </xf>
    <xf numFmtId="165" fontId="0" fillId="2" borderId="6" xfId="0" applyNumberFormat="1" applyFill="1" applyBorder="1" applyAlignment="1">
      <alignment horizontal="center" vertical="center" wrapText="1"/>
    </xf>
    <xf numFmtId="166" fontId="3" fillId="3" borderId="43" xfId="3" applyNumberFormat="1" applyFont="1" applyFill="1" applyBorder="1" applyAlignment="1">
      <alignment horizontal="center"/>
    </xf>
    <xf numFmtId="166" fontId="0" fillId="2" borderId="9" xfId="3" applyNumberFormat="1" applyFont="1" applyFill="1" applyBorder="1" applyAlignment="1">
      <alignment horizontal="center" vertical="center" wrapText="1"/>
    </xf>
    <xf numFmtId="166" fontId="3" fillId="3" borderId="68" xfId="3" applyNumberFormat="1" applyFont="1" applyFill="1" applyBorder="1" applyAlignment="1">
      <alignment horizontal="center"/>
    </xf>
    <xf numFmtId="166" fontId="3" fillId="3" borderId="40" xfId="3" applyNumberFormat="1" applyFont="1" applyFill="1" applyBorder="1" applyAlignment="1">
      <alignment horizontal="center"/>
    </xf>
    <xf numFmtId="166" fontId="0" fillId="2" borderId="60" xfId="3" applyNumberFormat="1" applyFont="1" applyFill="1" applyBorder="1" applyAlignment="1">
      <alignment horizontal="center" vertical="center" wrapText="1"/>
    </xf>
    <xf numFmtId="166" fontId="3" fillId="3" borderId="11" xfId="3" applyNumberFormat="1" applyFont="1" applyFill="1" applyBorder="1" applyAlignment="1">
      <alignment horizontal="center"/>
    </xf>
    <xf numFmtId="166" fontId="0" fillId="2" borderId="7" xfId="3" applyNumberFormat="1" applyFont="1" applyFill="1" applyBorder="1" applyAlignment="1">
      <alignment horizontal="center" vertical="center" wrapText="1"/>
    </xf>
    <xf numFmtId="166" fontId="3" fillId="3" borderId="60" xfId="3" applyNumberFormat="1" applyFont="1" applyFill="1" applyBorder="1" applyAlignment="1">
      <alignment horizontal="center"/>
    </xf>
    <xf numFmtId="166" fontId="3" fillId="3" borderId="49" xfId="3" applyNumberFormat="1" applyFont="1" applyFill="1" applyBorder="1" applyAlignment="1">
      <alignment horizontal="center"/>
    </xf>
    <xf numFmtId="166" fontId="0" fillId="0" borderId="8" xfId="3" applyNumberFormat="1" applyFont="1" applyFill="1" applyBorder="1" applyAlignment="1">
      <alignment horizontal="center"/>
    </xf>
    <xf numFmtId="166" fontId="0" fillId="0" borderId="18" xfId="3" applyNumberFormat="1" applyFont="1" applyFill="1" applyBorder="1" applyAlignment="1">
      <alignment horizontal="center"/>
    </xf>
    <xf numFmtId="166" fontId="3" fillId="3" borderId="39" xfId="3" applyNumberFormat="1" applyFont="1" applyFill="1" applyBorder="1" applyAlignment="1">
      <alignment horizontal="center"/>
    </xf>
    <xf numFmtId="166" fontId="0" fillId="2" borderId="8" xfId="3" applyNumberFormat="1" applyFont="1" applyFill="1" applyBorder="1" applyAlignment="1">
      <alignment horizontal="center" vertical="center" wrapText="1"/>
    </xf>
    <xf numFmtId="166" fontId="3" fillId="3" borderId="30" xfId="3" applyNumberFormat="1" applyFont="1" applyFill="1" applyBorder="1" applyAlignment="1">
      <alignment horizontal="center"/>
    </xf>
    <xf numFmtId="166" fontId="14" fillId="0" borderId="13" xfId="3" applyNumberFormat="1" applyFont="1" applyFill="1" applyBorder="1" applyAlignment="1">
      <alignment horizontal="center"/>
    </xf>
    <xf numFmtId="166" fontId="0" fillId="2" borderId="49" xfId="3" applyNumberFormat="1" applyFont="1" applyFill="1" applyBorder="1" applyAlignment="1">
      <alignment horizontal="center" vertical="center" wrapText="1"/>
    </xf>
    <xf numFmtId="166" fontId="3" fillId="3" borderId="13" xfId="3" applyNumberFormat="1" applyFont="1" applyFill="1" applyBorder="1" applyAlignment="1">
      <alignment horizontal="center"/>
    </xf>
    <xf numFmtId="166" fontId="3" fillId="6" borderId="39" xfId="3" applyNumberFormat="1" applyFont="1" applyFill="1" applyBorder="1" applyAlignment="1">
      <alignment horizontal="center"/>
    </xf>
    <xf numFmtId="164" fontId="3" fillId="3" borderId="53" xfId="1" applyNumberFormat="1" applyFont="1" applyFill="1" applyBorder="1" applyAlignment="1">
      <alignment horizontal="center"/>
    </xf>
    <xf numFmtId="164" fontId="3" fillId="3" borderId="39" xfId="1" applyNumberFormat="1" applyFont="1" applyFill="1" applyBorder="1" applyAlignment="1">
      <alignment horizontal="center"/>
    </xf>
    <xf numFmtId="164" fontId="0" fillId="2" borderId="57" xfId="1" applyNumberFormat="1" applyFont="1" applyFill="1" applyBorder="1" applyAlignment="1">
      <alignment horizontal="center" vertical="center" wrapText="1"/>
    </xf>
    <xf numFmtId="164" fontId="0" fillId="2" borderId="8" xfId="1" applyNumberFormat="1" applyFont="1" applyFill="1" applyBorder="1" applyAlignment="1">
      <alignment horizontal="center" vertical="center" wrapText="1"/>
    </xf>
    <xf numFmtId="164" fontId="3" fillId="3" borderId="62" xfId="1" applyNumberFormat="1" applyFont="1" applyFill="1" applyBorder="1" applyAlignment="1">
      <alignment horizontal="center"/>
    </xf>
    <xf numFmtId="164" fontId="3" fillId="3" borderId="30" xfId="1" applyNumberFormat="1" applyFont="1" applyFill="1" applyBorder="1" applyAlignment="1">
      <alignment horizontal="center"/>
    </xf>
    <xf numFmtId="164" fontId="3" fillId="3" borderId="36" xfId="1" applyNumberFormat="1" applyFont="1" applyFill="1" applyBorder="1" applyAlignment="1">
      <alignment horizontal="center"/>
    </xf>
    <xf numFmtId="164" fontId="0" fillId="2" borderId="33" xfId="1" applyNumberFormat="1" applyFont="1" applyFill="1" applyBorder="1" applyAlignment="1">
      <alignment horizontal="center" vertical="center" wrapText="1"/>
    </xf>
    <xf numFmtId="164" fontId="0" fillId="2" borderId="49" xfId="1" applyNumberFormat="1" applyFont="1" applyFill="1" applyBorder="1" applyAlignment="1">
      <alignment horizontal="center" vertical="center" wrapText="1"/>
    </xf>
    <xf numFmtId="164" fontId="0" fillId="0" borderId="23" xfId="1" applyNumberFormat="1" applyFont="1" applyBorder="1" applyAlignment="1">
      <alignment horizontal="center" vertical="center"/>
    </xf>
    <xf numFmtId="164" fontId="3" fillId="3" borderId="10" xfId="1" applyNumberFormat="1" applyFont="1" applyFill="1" applyBorder="1" applyAlignment="1">
      <alignment horizontal="center"/>
    </xf>
    <xf numFmtId="164" fontId="3" fillId="3" borderId="13" xfId="1" applyNumberFormat="1" applyFont="1" applyFill="1" applyBorder="1" applyAlignment="1">
      <alignment horizontal="center"/>
    </xf>
    <xf numFmtId="164" fontId="0" fillId="2" borderId="6" xfId="1" applyNumberFormat="1" applyFont="1" applyFill="1" applyBorder="1" applyAlignment="1">
      <alignment horizontal="center" vertical="center" wrapText="1"/>
    </xf>
    <xf numFmtId="164" fontId="3" fillId="6" borderId="36" xfId="1" applyNumberFormat="1" applyFont="1" applyFill="1" applyBorder="1" applyAlignment="1">
      <alignment horizontal="center"/>
    </xf>
    <xf numFmtId="164" fontId="3" fillId="6" borderId="39" xfId="1" applyNumberFormat="1" applyFont="1" applyFill="1" applyBorder="1" applyAlignment="1">
      <alignment horizontal="center"/>
    </xf>
    <xf numFmtId="0" fontId="3" fillId="3" borderId="33" xfId="0" applyFont="1" applyFill="1" applyBorder="1" applyAlignment="1">
      <alignment horizontal="center"/>
    </xf>
    <xf numFmtId="0" fontId="3" fillId="3" borderId="49" xfId="0" applyFont="1" applyFill="1" applyBorder="1" applyAlignment="1">
      <alignment horizontal="center"/>
    </xf>
    <xf numFmtId="164" fontId="0" fillId="0" borderId="8" xfId="1" applyNumberFormat="1" applyFont="1" applyFill="1" applyBorder="1" applyAlignment="1">
      <alignment horizontal="center" vertical="center"/>
    </xf>
    <xf numFmtId="166" fontId="0" fillId="0" borderId="7" xfId="3" applyNumberFormat="1" applyFont="1" applyFill="1" applyBorder="1" applyAlignment="1">
      <alignment horizontal="center" vertical="center"/>
    </xf>
    <xf numFmtId="164" fontId="0" fillId="0" borderId="18" xfId="1" applyNumberFormat="1" applyFont="1" applyFill="1" applyBorder="1" applyAlignment="1">
      <alignment horizontal="center" vertical="center"/>
    </xf>
    <xf numFmtId="166" fontId="0" fillId="0" borderId="19" xfId="3" applyNumberFormat="1" applyFont="1" applyFill="1" applyBorder="1" applyAlignment="1">
      <alignment horizontal="center" vertical="center"/>
    </xf>
    <xf numFmtId="0" fontId="0" fillId="0" borderId="47" xfId="0" applyBorder="1" applyAlignment="1">
      <alignment horizontal="left" vertical="center" wrapText="1"/>
    </xf>
    <xf numFmtId="0" fontId="0" fillId="0" borderId="23" xfId="0" applyBorder="1"/>
    <xf numFmtId="0" fontId="0" fillId="0" borderId="24" xfId="0" applyBorder="1"/>
    <xf numFmtId="0" fontId="3" fillId="3" borderId="50" xfId="0" applyFont="1" applyFill="1" applyBorder="1"/>
    <xf numFmtId="164" fontId="3" fillId="3" borderId="2" xfId="1" applyNumberFormat="1" applyFont="1" applyFill="1" applyBorder="1" applyAlignment="1">
      <alignment horizontal="center"/>
    </xf>
    <xf numFmtId="164" fontId="3" fillId="3" borderId="22" xfId="1" applyNumberFormat="1" applyFont="1" applyFill="1" applyBorder="1" applyAlignment="1">
      <alignment horizontal="center"/>
    </xf>
    <xf numFmtId="166" fontId="3" fillId="3" borderId="3" xfId="3" applyNumberFormat="1" applyFont="1" applyFill="1" applyBorder="1" applyAlignment="1">
      <alignment horizontal="center"/>
    </xf>
    <xf numFmtId="164" fontId="3" fillId="3" borderId="70" xfId="1" applyNumberFormat="1" applyFont="1" applyFill="1" applyBorder="1" applyAlignment="1">
      <alignment horizontal="center"/>
    </xf>
    <xf numFmtId="0" fontId="3" fillId="9" borderId="46" xfId="0" applyFont="1" applyFill="1" applyBorder="1"/>
    <xf numFmtId="164" fontId="0" fillId="0" borderId="8" xfId="1" applyNumberFormat="1" applyFont="1" applyFill="1" applyBorder="1" applyAlignment="1">
      <alignment horizontal="center"/>
    </xf>
    <xf numFmtId="164" fontId="0" fillId="0" borderId="18" xfId="1" applyNumberFormat="1" applyFont="1" applyFill="1" applyBorder="1" applyAlignment="1">
      <alignment horizontal="center"/>
    </xf>
    <xf numFmtId="164" fontId="3" fillId="3" borderId="43" xfId="1" applyNumberFormat="1" applyFont="1" applyFill="1" applyBorder="1" applyAlignment="1">
      <alignment horizontal="center"/>
    </xf>
    <xf numFmtId="164" fontId="0" fillId="2" borderId="61" xfId="1" applyNumberFormat="1" applyFont="1" applyFill="1" applyBorder="1" applyAlignment="1">
      <alignment horizontal="center" vertical="center" wrapText="1"/>
    </xf>
    <xf numFmtId="164" fontId="3" fillId="3" borderId="56" xfId="1" applyNumberFormat="1" applyFont="1" applyFill="1" applyBorder="1" applyAlignment="1">
      <alignment horizontal="center"/>
    </xf>
    <xf numFmtId="164" fontId="14" fillId="0" borderId="18" xfId="1" applyNumberFormat="1" applyFont="1" applyFill="1" applyBorder="1" applyAlignment="1">
      <alignment horizontal="center"/>
    </xf>
    <xf numFmtId="164" fontId="14" fillId="0" borderId="13" xfId="1" applyNumberFormat="1" applyFont="1" applyFill="1" applyBorder="1" applyAlignment="1">
      <alignment horizontal="center"/>
    </xf>
    <xf numFmtId="164" fontId="3" fillId="3" borderId="44" xfId="1" applyNumberFormat="1" applyFont="1" applyFill="1" applyBorder="1" applyAlignment="1">
      <alignment horizontal="center"/>
    </xf>
    <xf numFmtId="165" fontId="3" fillId="3" borderId="36" xfId="2" applyNumberFormat="1" applyFont="1" applyFill="1" applyBorder="1" applyAlignment="1">
      <alignment horizontal="center"/>
    </xf>
    <xf numFmtId="165" fontId="3" fillId="3" borderId="39" xfId="2" applyNumberFormat="1" applyFont="1" applyFill="1" applyBorder="1" applyAlignment="1">
      <alignment horizontal="center"/>
    </xf>
    <xf numFmtId="164" fontId="3" fillId="8" borderId="10" xfId="1" applyNumberFormat="1" applyFont="1" applyFill="1" applyBorder="1" applyAlignment="1">
      <alignment horizontal="center" vertical="center"/>
    </xf>
    <xf numFmtId="164" fontId="3" fillId="8" borderId="13" xfId="1" applyNumberFormat="1" applyFont="1" applyFill="1" applyBorder="1" applyAlignment="1">
      <alignment horizontal="center" vertical="center"/>
    </xf>
    <xf numFmtId="166" fontId="3" fillId="8" borderId="11" xfId="3" applyNumberFormat="1" applyFont="1" applyFill="1" applyBorder="1" applyAlignment="1">
      <alignment horizontal="center" vertical="center"/>
    </xf>
    <xf numFmtId="166" fontId="3" fillId="8" borderId="0" xfId="3" applyNumberFormat="1" applyFont="1" applyFill="1" applyBorder="1" applyAlignment="1">
      <alignment horizontal="center" vertical="center"/>
    </xf>
    <xf numFmtId="164" fontId="3" fillId="8" borderId="13" xfId="1" applyNumberFormat="1" applyFont="1" applyFill="1" applyBorder="1" applyAlignment="1">
      <alignment horizontal="center"/>
    </xf>
    <xf numFmtId="0" fontId="3" fillId="9" borderId="48" xfId="0" applyFont="1" applyFill="1" applyBorder="1"/>
    <xf numFmtId="164" fontId="8" fillId="8" borderId="13" xfId="1" applyNumberFormat="1" applyFont="1" applyFill="1" applyBorder="1" applyAlignment="1">
      <alignment horizontal="center"/>
    </xf>
    <xf numFmtId="164" fontId="14" fillId="0" borderId="24" xfId="1" applyNumberFormat="1" applyFont="1" applyFill="1" applyBorder="1" applyAlignment="1">
      <alignment horizontal="center"/>
    </xf>
    <xf numFmtId="164" fontId="14" fillId="0" borderId="22" xfId="1" applyNumberFormat="1" applyFont="1" applyFill="1" applyBorder="1" applyAlignment="1">
      <alignment horizontal="center"/>
    </xf>
    <xf numFmtId="1" fontId="0" fillId="0" borderId="0" xfId="0" applyNumberFormat="1"/>
    <xf numFmtId="164" fontId="11" fillId="0" borderId="18" xfId="1" applyNumberFormat="1" applyFont="1" applyFill="1" applyBorder="1" applyAlignment="1">
      <alignment horizontal="center"/>
    </xf>
    <xf numFmtId="0" fontId="11" fillId="0" borderId="52" xfId="0" applyFont="1" applyBorder="1" applyAlignment="1">
      <alignment horizontal="left" vertical="center" wrapText="1"/>
    </xf>
    <xf numFmtId="164" fontId="0" fillId="0" borderId="22" xfId="1" applyNumberFormat="1" applyFont="1" applyFill="1" applyBorder="1" applyAlignment="1">
      <alignment horizontal="center" vertical="center"/>
    </xf>
    <xf numFmtId="164" fontId="3" fillId="3" borderId="40" xfId="1" applyNumberFormat="1" applyFont="1" applyFill="1" applyBorder="1" applyAlignment="1">
      <alignment horizontal="center"/>
    </xf>
    <xf numFmtId="0" fontId="3" fillId="3" borderId="36" xfId="0" applyFont="1" applyFill="1" applyBorder="1" applyAlignment="1">
      <alignment horizontal="center"/>
    </xf>
    <xf numFmtId="0" fontId="3" fillId="3" borderId="40" xfId="0" applyFont="1" applyFill="1" applyBorder="1" applyAlignment="1">
      <alignment horizontal="center"/>
    </xf>
    <xf numFmtId="166" fontId="3" fillId="6" borderId="44" xfId="3" applyNumberFormat="1" applyFont="1" applyFill="1" applyBorder="1" applyAlignment="1">
      <alignment horizontal="center"/>
    </xf>
    <xf numFmtId="165" fontId="3" fillId="3" borderId="22" xfId="1" applyNumberFormat="1" applyFont="1" applyFill="1" applyBorder="1" applyAlignment="1">
      <alignment horizontal="center"/>
    </xf>
    <xf numFmtId="0" fontId="0" fillId="0" borderId="45" xfId="0" applyBorder="1" applyAlignment="1">
      <alignment horizontal="left" vertical="center" wrapText="1"/>
    </xf>
    <xf numFmtId="0" fontId="16" fillId="0" borderId="0" xfId="5" applyFill="1"/>
    <xf numFmtId="0" fontId="3" fillId="3" borderId="65" xfId="1" applyNumberFormat="1" applyFont="1" applyFill="1" applyBorder="1" applyAlignment="1">
      <alignment horizontal="center"/>
    </xf>
    <xf numFmtId="165" fontId="3" fillId="3" borderId="71" xfId="0" applyNumberFormat="1" applyFont="1" applyFill="1" applyBorder="1" applyAlignment="1">
      <alignment horizontal="center"/>
    </xf>
    <xf numFmtId="167" fontId="0" fillId="0" borderId="8" xfId="1" applyNumberFormat="1" applyFont="1" applyFill="1" applyBorder="1" applyAlignment="1">
      <alignment horizontal="center"/>
    </xf>
    <xf numFmtId="167" fontId="3" fillId="8" borderId="13" xfId="1" applyNumberFormat="1" applyFont="1" applyFill="1" applyBorder="1" applyAlignment="1">
      <alignment horizontal="center"/>
    </xf>
    <xf numFmtId="167" fontId="3" fillId="3" borderId="39" xfId="1" applyNumberFormat="1" applyFont="1" applyFill="1" applyBorder="1" applyAlignment="1">
      <alignment horizontal="center"/>
    </xf>
    <xf numFmtId="167" fontId="0" fillId="2" borderId="8" xfId="1" applyNumberFormat="1" applyFont="1" applyFill="1" applyBorder="1" applyAlignment="1">
      <alignment horizontal="center" vertical="center" wrapText="1"/>
    </xf>
    <xf numFmtId="167" fontId="3" fillId="3" borderId="30" xfId="1" applyNumberFormat="1" applyFont="1" applyFill="1" applyBorder="1" applyAlignment="1">
      <alignment horizontal="center"/>
    </xf>
    <xf numFmtId="167" fontId="0" fillId="2" borderId="49" xfId="1" applyNumberFormat="1" applyFont="1" applyFill="1" applyBorder="1" applyAlignment="1">
      <alignment horizontal="center" vertical="center" wrapText="1"/>
    </xf>
    <xf numFmtId="167" fontId="3" fillId="3" borderId="13" xfId="1" applyNumberFormat="1" applyFont="1" applyFill="1" applyBorder="1" applyAlignment="1">
      <alignment horizontal="center"/>
    </xf>
    <xf numFmtId="165" fontId="0" fillId="0" borderId="24" xfId="2" applyNumberFormat="1" applyFont="1" applyFill="1" applyBorder="1" applyAlignment="1">
      <alignment horizontal="center" vertical="center"/>
    </xf>
    <xf numFmtId="165" fontId="3" fillId="8" borderId="30" xfId="2" applyNumberFormat="1" applyFont="1" applyFill="1" applyBorder="1" applyAlignment="1">
      <alignment horizontal="center" vertical="center"/>
    </xf>
    <xf numFmtId="165" fontId="3" fillId="3" borderId="53" xfId="0" applyNumberFormat="1" applyFont="1" applyFill="1" applyBorder="1" applyAlignment="1">
      <alignment horizontal="center"/>
    </xf>
    <xf numFmtId="165" fontId="0" fillId="2" borderId="21" xfId="0" applyNumberFormat="1" applyFill="1" applyBorder="1" applyAlignment="1">
      <alignment horizontal="center" vertical="center" wrapText="1"/>
    </xf>
    <xf numFmtId="165" fontId="0" fillId="2" borderId="22" xfId="0" applyNumberFormat="1" applyFill="1" applyBorder="1" applyAlignment="1">
      <alignment horizontal="center" vertical="center" wrapText="1"/>
    </xf>
    <xf numFmtId="165" fontId="0" fillId="0" borderId="49" xfId="2" applyNumberFormat="1" applyFont="1" applyFill="1" applyBorder="1" applyAlignment="1">
      <alignment horizontal="center" vertical="center"/>
    </xf>
    <xf numFmtId="165" fontId="0" fillId="0" borderId="18" xfId="2" applyNumberFormat="1" applyFont="1" applyFill="1" applyBorder="1" applyAlignment="1">
      <alignment horizontal="center" vertical="center"/>
    </xf>
    <xf numFmtId="164" fontId="0" fillId="0" borderId="24" xfId="1" applyNumberFormat="1" applyFont="1" applyFill="1" applyBorder="1" applyAlignment="1">
      <alignment horizontal="center" vertical="center"/>
    </xf>
    <xf numFmtId="166" fontId="0" fillId="0" borderId="41" xfId="3" applyNumberFormat="1" applyFont="1" applyFill="1" applyBorder="1" applyAlignment="1">
      <alignment horizontal="center" vertical="center"/>
    </xf>
    <xf numFmtId="166" fontId="0" fillId="0" borderId="27" xfId="3" applyNumberFormat="1" applyFont="1" applyFill="1" applyBorder="1" applyAlignment="1">
      <alignment horizontal="center" vertical="center"/>
    </xf>
    <xf numFmtId="166" fontId="0" fillId="0" borderId="18" xfId="3" applyNumberFormat="1" applyFont="1" applyFill="1" applyBorder="1" applyAlignment="1">
      <alignment horizontal="center" vertical="center"/>
    </xf>
    <xf numFmtId="165" fontId="3" fillId="3" borderId="40" xfId="2" applyNumberFormat="1" applyFont="1" applyFill="1" applyBorder="1" applyAlignment="1">
      <alignment horizontal="center"/>
    </xf>
    <xf numFmtId="165" fontId="3" fillId="3" borderId="10" xfId="2" applyNumberFormat="1" applyFont="1" applyFill="1" applyBorder="1" applyAlignment="1">
      <alignment horizontal="center"/>
    </xf>
    <xf numFmtId="165" fontId="3" fillId="3" borderId="11" xfId="2" applyNumberFormat="1" applyFont="1" applyFill="1" applyBorder="1" applyAlignment="1">
      <alignment horizontal="center"/>
    </xf>
    <xf numFmtId="166" fontId="3" fillId="3" borderId="37" xfId="3" applyNumberFormat="1" applyFont="1" applyFill="1" applyBorder="1" applyAlignment="1">
      <alignment horizontal="center"/>
    </xf>
    <xf numFmtId="164" fontId="0" fillId="2" borderId="23" xfId="1" applyNumberFormat="1" applyFont="1" applyFill="1" applyBorder="1" applyAlignment="1">
      <alignment horizontal="center" vertical="center" wrapText="1"/>
    </xf>
    <xf numFmtId="164" fontId="0" fillId="2" borderId="24" xfId="1" applyNumberFormat="1" applyFont="1" applyFill="1" applyBorder="1" applyAlignment="1">
      <alignment horizontal="center" vertical="center" wrapText="1"/>
    </xf>
    <xf numFmtId="166" fontId="0" fillId="2" borderId="24" xfId="3" applyNumberFormat="1" applyFont="1" applyFill="1" applyBorder="1" applyAlignment="1">
      <alignment horizontal="center" vertical="center" wrapText="1"/>
    </xf>
    <xf numFmtId="167" fontId="0" fillId="2" borderId="24" xfId="1" applyNumberFormat="1" applyFont="1" applyFill="1" applyBorder="1" applyAlignment="1">
      <alignment horizontal="center" vertical="center" wrapText="1"/>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0" fontId="0" fillId="12" borderId="18" xfId="0" applyFill="1" applyBorder="1" applyAlignment="1" applyProtection="1">
      <alignment horizontal="center" vertical="center" wrapText="1"/>
      <protection hidden="1"/>
    </xf>
    <xf numFmtId="0" fontId="0" fillId="15" borderId="18" xfId="0" applyFill="1" applyBorder="1" applyAlignment="1" applyProtection="1">
      <alignment horizontal="center" vertical="center"/>
      <protection hidden="1"/>
    </xf>
    <xf numFmtId="0" fontId="11" fillId="15" borderId="18" xfId="0" applyFont="1" applyFill="1" applyBorder="1" applyAlignment="1" applyProtection="1">
      <alignment horizontal="center" vertical="center"/>
      <protection hidden="1"/>
    </xf>
    <xf numFmtId="0" fontId="11" fillId="15" borderId="30" xfId="0" applyFont="1" applyFill="1" applyBorder="1" applyAlignment="1" applyProtection="1">
      <alignment horizontal="center" vertical="center"/>
      <protection hidden="1"/>
    </xf>
    <xf numFmtId="0" fontId="0" fillId="16" borderId="18" xfId="0" applyFill="1" applyBorder="1" applyAlignment="1" applyProtection="1">
      <alignment horizontal="center" vertical="center" wrapText="1"/>
      <protection hidden="1"/>
    </xf>
    <xf numFmtId="44" fontId="0" fillId="17" borderId="18" xfId="0" applyNumberFormat="1" applyFill="1" applyBorder="1" applyAlignment="1" applyProtection="1">
      <alignment horizontal="center" vertical="center" wrapText="1"/>
      <protection hidden="1"/>
    </xf>
    <xf numFmtId="0" fontId="11" fillId="18" borderId="18" xfId="0" applyFont="1" applyFill="1" applyBorder="1" applyAlignment="1" applyProtection="1">
      <alignment horizontal="center" vertical="center" wrapText="1"/>
      <protection hidden="1"/>
    </xf>
    <xf numFmtId="0" fontId="0" fillId="18" borderId="18" xfId="0" applyFill="1" applyBorder="1" applyAlignment="1" applyProtection="1">
      <alignment horizontal="center" vertical="center" wrapText="1"/>
      <protection hidden="1"/>
    </xf>
    <xf numFmtId="0" fontId="0" fillId="0" borderId="18" xfId="0" applyBorder="1" applyProtection="1">
      <protection hidden="1"/>
    </xf>
    <xf numFmtId="0" fontId="0" fillId="0" borderId="35" xfId="0" applyBorder="1" applyProtection="1">
      <protection hidden="1"/>
    </xf>
    <xf numFmtId="0" fontId="0" fillId="0" borderId="18" xfId="0" applyBorder="1" applyAlignment="1">
      <alignment horizontal="left" vertical="center" wrapText="1"/>
    </xf>
    <xf numFmtId="0" fontId="0" fillId="0" borderId="32" xfId="0" applyBorder="1" applyProtection="1">
      <protection hidden="1"/>
    </xf>
    <xf numFmtId="44" fontId="0" fillId="0" borderId="18" xfId="2" applyFont="1" applyBorder="1" applyProtection="1">
      <protection hidden="1"/>
    </xf>
    <xf numFmtId="44" fontId="0" fillId="0" borderId="18" xfId="2" applyFont="1" applyBorder="1" applyProtection="1">
      <protection locked="0"/>
    </xf>
    <xf numFmtId="168" fontId="0" fillId="0" borderId="18" xfId="0" applyNumberFormat="1" applyBorder="1"/>
    <xf numFmtId="0" fontId="18" fillId="19" borderId="18" xfId="6" applyFont="1" applyFill="1" applyBorder="1" applyAlignment="1">
      <alignment horizontal="center"/>
    </xf>
    <xf numFmtId="49" fontId="0" fillId="0" borderId="18" xfId="0" applyNumberFormat="1" applyBorder="1"/>
    <xf numFmtId="0" fontId="18" fillId="19" borderId="30" xfId="6" applyFont="1" applyFill="1" applyBorder="1" applyAlignment="1">
      <alignment horizontal="center"/>
    </xf>
    <xf numFmtId="0" fontId="9" fillId="0" borderId="18" xfId="6" applyBorder="1"/>
    <xf numFmtId="0" fontId="11" fillId="0" borderId="18" xfId="0" applyFont="1" applyBorder="1"/>
    <xf numFmtId="3" fontId="0" fillId="0" borderId="18" xfId="0" applyNumberFormat="1" applyBorder="1" applyProtection="1">
      <protection hidden="1"/>
    </xf>
    <xf numFmtId="164" fontId="14" fillId="0" borderId="8" xfId="1" applyNumberFormat="1" applyFont="1" applyFill="1" applyBorder="1" applyAlignment="1">
      <alignment horizontal="center"/>
    </xf>
    <xf numFmtId="166" fontId="14" fillId="0" borderId="9" xfId="3" applyNumberFormat="1" applyFont="1" applyFill="1" applyBorder="1" applyAlignment="1">
      <alignment horizontal="center"/>
    </xf>
    <xf numFmtId="166" fontId="14" fillId="0" borderId="41" xfId="3" applyNumberFormat="1" applyFont="1" applyFill="1" applyBorder="1" applyAlignment="1">
      <alignment horizontal="center"/>
    </xf>
    <xf numFmtId="164" fontId="14" fillId="0" borderId="42" xfId="1" applyNumberFormat="1" applyFont="1" applyFill="1" applyBorder="1" applyAlignment="1">
      <alignment horizontal="center"/>
    </xf>
    <xf numFmtId="166" fontId="14" fillId="0" borderId="69" xfId="3" applyNumberFormat="1" applyFont="1" applyFill="1" applyBorder="1" applyAlignment="1">
      <alignment horizontal="center"/>
    </xf>
    <xf numFmtId="166" fontId="14" fillId="0" borderId="27" xfId="3" applyNumberFormat="1" applyFont="1" applyFill="1" applyBorder="1" applyAlignment="1">
      <alignment horizontal="center"/>
    </xf>
    <xf numFmtId="164" fontId="14" fillId="0" borderId="73" xfId="1" applyNumberFormat="1" applyFont="1" applyFill="1" applyBorder="1" applyAlignment="1">
      <alignment horizontal="center"/>
    </xf>
    <xf numFmtId="166" fontId="14" fillId="0" borderId="74" xfId="3" applyNumberFormat="1" applyFont="1" applyFill="1" applyBorder="1" applyAlignment="1">
      <alignment horizontal="center"/>
    </xf>
    <xf numFmtId="166" fontId="14" fillId="0" borderId="59" xfId="3" applyNumberFormat="1" applyFont="1" applyFill="1" applyBorder="1" applyAlignment="1">
      <alignment horizontal="center"/>
    </xf>
    <xf numFmtId="166" fontId="14" fillId="0" borderId="0" xfId="3" applyNumberFormat="1" applyFont="1" applyFill="1" applyAlignment="1">
      <alignment horizontal="center"/>
    </xf>
    <xf numFmtId="164" fontId="3" fillId="8" borderId="36" xfId="1" applyNumberFormat="1" applyFont="1" applyFill="1" applyBorder="1" applyAlignment="1">
      <alignment horizontal="center" vertical="center"/>
    </xf>
    <xf numFmtId="164" fontId="3" fillId="8" borderId="39" xfId="1" applyNumberFormat="1" applyFont="1" applyFill="1" applyBorder="1" applyAlignment="1">
      <alignment horizontal="center" vertical="center"/>
    </xf>
    <xf numFmtId="166" fontId="3" fillId="8" borderId="44" xfId="3" applyNumberFormat="1" applyFont="1" applyFill="1" applyBorder="1" applyAlignment="1">
      <alignment horizontal="center" vertical="center"/>
    </xf>
    <xf numFmtId="165" fontId="3" fillId="8" borderId="21" xfId="1" applyNumberFormat="1" applyFont="1" applyFill="1" applyBorder="1" applyAlignment="1">
      <alignment horizontal="center" vertical="center"/>
    </xf>
    <xf numFmtId="165" fontId="3" fillId="8" borderId="22" xfId="2" applyNumberFormat="1" applyFont="1" applyFill="1" applyBorder="1" applyAlignment="1">
      <alignment horizontal="center" vertical="center"/>
    </xf>
    <xf numFmtId="166" fontId="3" fillId="8" borderId="4" xfId="3" applyNumberFormat="1" applyFont="1" applyFill="1" applyBorder="1" applyAlignment="1">
      <alignment horizontal="center" vertical="center"/>
    </xf>
    <xf numFmtId="164" fontId="0" fillId="0" borderId="49" xfId="1" applyNumberFormat="1" applyFont="1" applyFill="1" applyBorder="1" applyAlignment="1">
      <alignment horizontal="center" vertical="center"/>
    </xf>
    <xf numFmtId="166" fontId="11" fillId="0" borderId="19" xfId="3" applyNumberFormat="1" applyFont="1" applyFill="1" applyBorder="1" applyAlignment="1">
      <alignment horizontal="center" vertical="center"/>
    </xf>
    <xf numFmtId="165" fontId="11" fillId="0" borderId="18" xfId="2" applyNumberFormat="1" applyFont="1" applyFill="1" applyBorder="1" applyAlignment="1">
      <alignment horizontal="center" vertical="center"/>
    </xf>
    <xf numFmtId="164" fontId="11" fillId="0" borderId="30" xfId="1" applyNumberFormat="1" applyFont="1" applyFill="1" applyBorder="1" applyAlignment="1">
      <alignment horizontal="center" vertical="center"/>
    </xf>
    <xf numFmtId="166" fontId="11" fillId="0" borderId="31" xfId="3" applyNumberFormat="1" applyFont="1" applyFill="1" applyBorder="1" applyAlignment="1">
      <alignment horizontal="center" vertical="center"/>
    </xf>
    <xf numFmtId="165" fontId="11" fillId="0" borderId="30" xfId="2" applyNumberFormat="1" applyFont="1" applyFill="1" applyBorder="1" applyAlignment="1">
      <alignment horizontal="center" vertical="center"/>
    </xf>
    <xf numFmtId="166" fontId="0" fillId="0" borderId="56" xfId="3" applyNumberFormat="1" applyFont="1" applyFill="1" applyBorder="1" applyAlignment="1">
      <alignment horizontal="center" vertical="center"/>
    </xf>
    <xf numFmtId="164" fontId="0" fillId="0" borderId="30" xfId="1" applyNumberFormat="1" applyFont="1" applyFill="1" applyBorder="1" applyAlignment="1">
      <alignment horizontal="center" vertical="center"/>
    </xf>
    <xf numFmtId="166" fontId="3" fillId="3" borderId="44" xfId="3" applyNumberFormat="1" applyFont="1" applyFill="1" applyBorder="1" applyAlignment="1">
      <alignment horizontal="center"/>
    </xf>
    <xf numFmtId="166" fontId="0" fillId="2" borderId="74" xfId="3" applyNumberFormat="1" applyFont="1" applyFill="1" applyBorder="1" applyAlignment="1">
      <alignment horizontal="center" vertical="center" wrapText="1"/>
    </xf>
    <xf numFmtId="164" fontId="0" fillId="2" borderId="9" xfId="1" applyNumberFormat="1" applyFont="1" applyFill="1" applyBorder="1" applyAlignment="1">
      <alignment horizontal="center" vertical="center" wrapText="1"/>
    </xf>
    <xf numFmtId="166" fontId="3" fillId="3" borderId="56" xfId="3" applyNumberFormat="1" applyFont="1" applyFill="1" applyBorder="1" applyAlignment="1">
      <alignment horizontal="center"/>
    </xf>
    <xf numFmtId="164" fontId="3" fillId="3" borderId="68" xfId="1" applyNumberFormat="1" applyFont="1" applyFill="1" applyBorder="1" applyAlignment="1">
      <alignment horizontal="center"/>
    </xf>
    <xf numFmtId="166" fontId="0" fillId="0" borderId="64" xfId="3" applyNumberFormat="1" applyFont="1" applyFill="1" applyBorder="1" applyAlignment="1">
      <alignment horizontal="center" vertical="center"/>
    </xf>
    <xf numFmtId="165" fontId="0" fillId="0" borderId="22" xfId="2" applyNumberFormat="1" applyFont="1" applyFill="1" applyBorder="1" applyAlignment="1">
      <alignment horizontal="center" vertical="center"/>
    </xf>
    <xf numFmtId="166" fontId="0" fillId="0" borderId="38" xfId="3" applyNumberFormat="1" applyFont="1" applyFill="1" applyBorder="1" applyAlignment="1">
      <alignment horizontal="center" vertical="center"/>
    </xf>
    <xf numFmtId="166" fontId="0" fillId="0" borderId="66" xfId="3" applyNumberFormat="1" applyFont="1" applyFill="1" applyBorder="1" applyAlignment="1">
      <alignment horizontal="center" vertical="center"/>
    </xf>
    <xf numFmtId="166" fontId="0" fillId="0" borderId="35" xfId="3" applyNumberFormat="1" applyFont="1" applyFill="1" applyBorder="1" applyAlignment="1">
      <alignment horizontal="center" vertical="center"/>
    </xf>
    <xf numFmtId="164" fontId="0" fillId="0" borderId="13" xfId="1" applyNumberFormat="1" applyFont="1" applyFill="1" applyBorder="1" applyAlignment="1">
      <alignment horizontal="center" vertical="center"/>
    </xf>
    <xf numFmtId="166" fontId="0" fillId="0" borderId="37" xfId="3" applyNumberFormat="1" applyFont="1" applyFill="1" applyBorder="1" applyAlignment="1">
      <alignment horizontal="center" vertical="center"/>
    </xf>
    <xf numFmtId="165" fontId="0" fillId="0" borderId="13" xfId="2" applyNumberFormat="1" applyFont="1" applyFill="1" applyBorder="1" applyAlignment="1">
      <alignment horizontal="center" vertical="center"/>
    </xf>
    <xf numFmtId="166" fontId="0" fillId="2" borderId="65" xfId="3" applyNumberFormat="1" applyFont="1" applyFill="1" applyBorder="1" applyAlignment="1">
      <alignment horizontal="center" vertical="center" wrapText="1"/>
    </xf>
    <xf numFmtId="166" fontId="0" fillId="0" borderId="34" xfId="3" applyNumberFormat="1" applyFont="1" applyFill="1" applyBorder="1" applyAlignment="1">
      <alignment horizontal="center" vertical="center"/>
    </xf>
    <xf numFmtId="166" fontId="0" fillId="2" borderId="38" xfId="3" applyNumberFormat="1" applyFont="1" applyFill="1" applyBorder="1" applyAlignment="1">
      <alignment horizontal="center" vertical="center" wrapText="1"/>
    </xf>
    <xf numFmtId="164" fontId="3" fillId="3" borderId="4" xfId="1" applyNumberFormat="1" applyFont="1" applyFill="1" applyBorder="1" applyAlignment="1">
      <alignment horizontal="center"/>
    </xf>
    <xf numFmtId="166" fontId="3" fillId="3" borderId="22" xfId="3" applyNumberFormat="1" applyFont="1" applyFill="1" applyBorder="1" applyAlignment="1">
      <alignment horizontal="center"/>
    </xf>
    <xf numFmtId="167" fontId="3" fillId="3" borderId="22" xfId="1" applyNumberFormat="1" applyFont="1" applyFill="1" applyBorder="1" applyAlignment="1">
      <alignment horizontal="center"/>
    </xf>
    <xf numFmtId="164" fontId="3" fillId="3" borderId="3" xfId="1" applyNumberFormat="1" applyFont="1" applyFill="1" applyBorder="1" applyAlignment="1">
      <alignment horizontal="center"/>
    </xf>
    <xf numFmtId="166" fontId="0" fillId="0" borderId="7" xfId="3" applyNumberFormat="1" applyFont="1" applyBorder="1" applyAlignment="1">
      <alignment horizontal="center"/>
    </xf>
    <xf numFmtId="165" fontId="0" fillId="0" borderId="6" xfId="0" applyNumberFormat="1" applyBorder="1" applyAlignment="1">
      <alignment horizontal="center"/>
    </xf>
    <xf numFmtId="165" fontId="0" fillId="0" borderId="8" xfId="0" applyNumberFormat="1" applyBorder="1" applyAlignment="1">
      <alignment horizontal="center"/>
    </xf>
    <xf numFmtId="165" fontId="0" fillId="0" borderId="18" xfId="2" applyNumberFormat="1" applyFont="1" applyBorder="1"/>
    <xf numFmtId="164" fontId="7" fillId="2" borderId="0"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6" xfId="1"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62" xfId="0" applyFont="1" applyFill="1" applyBorder="1" applyAlignment="1">
      <alignment horizontal="center" vertical="center" wrapText="1"/>
    </xf>
    <xf numFmtId="165" fontId="0" fillId="9" borderId="18" xfId="2" applyNumberFormat="1" applyFont="1" applyFill="1" applyBorder="1"/>
    <xf numFmtId="0" fontId="0" fillId="9" borderId="18" xfId="0" applyFill="1" applyBorder="1" applyAlignment="1">
      <alignment wrapText="1"/>
    </xf>
    <xf numFmtId="164" fontId="7" fillId="2" borderId="31" xfId="1"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9" fontId="0" fillId="9" borderId="18" xfId="3" applyFont="1" applyFill="1" applyBorder="1"/>
    <xf numFmtId="164" fontId="0" fillId="9" borderId="18" xfId="1" applyNumberFormat="1" applyFont="1" applyFill="1" applyBorder="1"/>
    <xf numFmtId="9" fontId="0" fillId="0" borderId="18" xfId="3" applyFont="1" applyBorder="1"/>
    <xf numFmtId="164" fontId="0" fillId="0" borderId="18" xfId="1" applyNumberFormat="1" applyFont="1" applyBorder="1"/>
    <xf numFmtId="0" fontId="0" fillId="0" borderId="18" xfId="0" applyBorder="1" applyAlignment="1">
      <alignment wrapText="1"/>
    </xf>
    <xf numFmtId="0" fontId="3" fillId="0" borderId="59" xfId="0" applyFont="1" applyBorder="1"/>
    <xf numFmtId="0" fontId="3" fillId="0" borderId="76" xfId="0" applyFont="1" applyBorder="1"/>
    <xf numFmtId="0" fontId="0" fillId="0" borderId="69" xfId="0" applyBorder="1"/>
    <xf numFmtId="0" fontId="0" fillId="0" borderId="76" xfId="0" applyBorder="1"/>
    <xf numFmtId="0" fontId="0" fillId="0" borderId="55" xfId="0" applyBorder="1"/>
    <xf numFmtId="0" fontId="3" fillId="0" borderId="28" xfId="0" applyFont="1" applyBorder="1"/>
    <xf numFmtId="0" fontId="3" fillId="0" borderId="27" xfId="0" applyFont="1" applyBorder="1"/>
    <xf numFmtId="0" fontId="0" fillId="0" borderId="28" xfId="0" applyBorder="1"/>
    <xf numFmtId="0" fontId="3" fillId="0" borderId="1" xfId="0" applyFont="1" applyBorder="1" applyAlignment="1">
      <alignment horizontal="center" wrapText="1"/>
    </xf>
    <xf numFmtId="0" fontId="3" fillId="0" borderId="41" xfId="0" applyFont="1" applyBorder="1" applyAlignment="1">
      <alignment horizontal="center" wrapText="1"/>
    </xf>
    <xf numFmtId="0" fontId="3" fillId="0" borderId="58" xfId="0" applyFont="1" applyBorder="1" applyAlignment="1">
      <alignment horizontal="center" wrapText="1"/>
    </xf>
    <xf numFmtId="164" fontId="0" fillId="0" borderId="9" xfId="1" applyNumberFormat="1" applyFont="1" applyFill="1" applyBorder="1" applyAlignment="1">
      <alignment horizontal="center"/>
    </xf>
    <xf numFmtId="164" fontId="0" fillId="2" borderId="1" xfId="1" applyNumberFormat="1" applyFont="1" applyFill="1" applyBorder="1" applyAlignment="1">
      <alignment horizontal="center" vertical="center" wrapText="1"/>
    </xf>
    <xf numFmtId="164" fontId="8" fillId="8" borderId="77" xfId="1" applyNumberFormat="1" applyFont="1" applyFill="1" applyBorder="1" applyAlignment="1">
      <alignment horizontal="center"/>
    </xf>
    <xf numFmtId="164" fontId="3" fillId="3" borderId="77" xfId="1" applyNumberFormat="1" applyFont="1" applyFill="1" applyBorder="1" applyAlignment="1">
      <alignment horizontal="center"/>
    </xf>
    <xf numFmtId="164" fontId="3" fillId="6" borderId="59" xfId="1" applyNumberFormat="1" applyFont="1" applyFill="1" applyBorder="1" applyAlignment="1">
      <alignment horizontal="center"/>
    </xf>
    <xf numFmtId="0" fontId="7" fillId="7" borderId="34" xfId="0" applyFont="1" applyFill="1" applyBorder="1" applyAlignment="1">
      <alignment horizontal="center" vertical="center" wrapText="1"/>
    </xf>
    <xf numFmtId="164" fontId="7" fillId="7" borderId="37" xfId="1" applyNumberFormat="1" applyFont="1" applyFill="1" applyBorder="1" applyAlignment="1">
      <alignment horizontal="center" vertical="center" wrapText="1"/>
    </xf>
    <xf numFmtId="166" fontId="3" fillId="3" borderId="65" xfId="3" applyNumberFormat="1" applyFont="1" applyFill="1" applyBorder="1" applyAlignment="1">
      <alignment horizontal="center"/>
    </xf>
    <xf numFmtId="166" fontId="0" fillId="0" borderId="34" xfId="3" applyNumberFormat="1" applyFont="1" applyBorder="1" applyAlignment="1">
      <alignment horizontal="center"/>
    </xf>
    <xf numFmtId="166" fontId="0" fillId="2" borderId="34" xfId="3" applyNumberFormat="1" applyFont="1" applyFill="1" applyBorder="1" applyAlignment="1">
      <alignment horizontal="center" vertical="center" wrapText="1"/>
    </xf>
    <xf numFmtId="166" fontId="3" fillId="3" borderId="38" xfId="3" applyNumberFormat="1" applyFont="1" applyFill="1" applyBorder="1" applyAlignment="1">
      <alignment horizontal="center"/>
    </xf>
    <xf numFmtId="164" fontId="7" fillId="2" borderId="7"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43" fontId="7" fillId="2" borderId="11" xfId="1" applyFont="1" applyFill="1" applyBorder="1" applyAlignment="1">
      <alignment horizontal="center" vertical="center" wrapText="1"/>
    </xf>
    <xf numFmtId="0" fontId="3" fillId="3" borderId="60" xfId="1" applyNumberFormat="1" applyFont="1" applyFill="1" applyBorder="1" applyAlignment="1">
      <alignment horizontal="center"/>
    </xf>
    <xf numFmtId="164" fontId="0" fillId="2" borderId="69" xfId="1" applyNumberFormat="1" applyFont="1" applyFill="1" applyBorder="1" applyAlignment="1">
      <alignment horizontal="center" vertical="center" wrapText="1"/>
    </xf>
    <xf numFmtId="164" fontId="3" fillId="3" borderId="10" xfId="1" applyNumberFormat="1" applyFont="1" applyFill="1" applyBorder="1" applyAlignment="1">
      <alignment horizontal="center" vertical="center"/>
    </xf>
    <xf numFmtId="164" fontId="3" fillId="3" borderId="37" xfId="1" applyNumberFormat="1" applyFont="1" applyFill="1" applyBorder="1" applyAlignment="1">
      <alignment horizontal="center" vertical="center"/>
    </xf>
    <xf numFmtId="165" fontId="3" fillId="3" borderId="10" xfId="2" applyNumberFormat="1" applyFont="1" applyFill="1" applyBorder="1" applyAlignment="1">
      <alignment horizontal="center" vertical="center"/>
    </xf>
    <xf numFmtId="165" fontId="3" fillId="3" borderId="11" xfId="2" applyNumberFormat="1" applyFont="1" applyFill="1" applyBorder="1" applyAlignment="1">
      <alignment horizontal="center" vertical="center"/>
    </xf>
    <xf numFmtId="164" fontId="0" fillId="2" borderId="34" xfId="1" applyNumberFormat="1" applyFont="1" applyFill="1" applyBorder="1" applyAlignment="1">
      <alignment horizontal="center" vertical="center" wrapText="1"/>
    </xf>
    <xf numFmtId="165" fontId="0" fillId="2" borderId="6" xfId="2" applyNumberFormat="1" applyFont="1" applyFill="1" applyBorder="1" applyAlignment="1">
      <alignment horizontal="center" vertical="center" wrapText="1"/>
    </xf>
    <xf numFmtId="165" fontId="0" fillId="2" borderId="7" xfId="2" applyNumberFormat="1" applyFont="1" applyFill="1" applyBorder="1" applyAlignment="1">
      <alignment horizontal="center" vertical="center" wrapText="1"/>
    </xf>
    <xf numFmtId="0" fontId="3" fillId="3" borderId="2" xfId="0" applyFont="1" applyFill="1" applyBorder="1"/>
    <xf numFmtId="164" fontId="3" fillId="3" borderId="78" xfId="1" applyNumberFormat="1" applyFont="1" applyFill="1" applyBorder="1" applyAlignment="1">
      <alignment horizontal="center" vertical="center"/>
    </xf>
    <xf numFmtId="164" fontId="3" fillId="3" borderId="64" xfId="1" applyNumberFormat="1" applyFont="1" applyFill="1" applyBorder="1" applyAlignment="1">
      <alignment horizontal="center" vertical="center"/>
    </xf>
    <xf numFmtId="165" fontId="3" fillId="3" borderId="21" xfId="2" applyNumberFormat="1" applyFont="1" applyFill="1" applyBorder="1" applyAlignment="1">
      <alignment horizontal="center" vertical="center"/>
    </xf>
    <xf numFmtId="165" fontId="3" fillId="3" borderId="64" xfId="2" applyNumberFormat="1" applyFont="1" applyFill="1" applyBorder="1" applyAlignment="1">
      <alignment horizontal="center" vertical="center"/>
    </xf>
    <xf numFmtId="164" fontId="3" fillId="3" borderId="21" xfId="1" applyNumberFormat="1" applyFont="1" applyFill="1" applyBorder="1" applyAlignment="1">
      <alignment horizontal="center" vertical="center"/>
    </xf>
    <xf numFmtId="164" fontId="0" fillId="0" borderId="66" xfId="1" applyNumberFormat="1" applyFont="1" applyBorder="1" applyAlignment="1">
      <alignment horizontal="center" vertical="center"/>
    </xf>
    <xf numFmtId="165" fontId="0" fillId="0" borderId="23" xfId="2" applyNumberFormat="1" applyFont="1" applyBorder="1" applyAlignment="1">
      <alignment horizontal="center" vertical="center"/>
    </xf>
    <xf numFmtId="165" fontId="0" fillId="0" borderId="25" xfId="2" applyNumberFormat="1" applyFont="1" applyBorder="1" applyAlignment="1">
      <alignment horizontal="center" vertical="center"/>
    </xf>
    <xf numFmtId="2" fontId="0" fillId="0" borderId="18" xfId="0" applyNumberFormat="1" applyBorder="1"/>
    <xf numFmtId="0" fontId="6" fillId="2" borderId="78" xfId="0" applyFont="1" applyFill="1" applyBorder="1" applyAlignment="1">
      <alignment horizontal="center" vertical="center" wrapText="1"/>
    </xf>
    <xf numFmtId="0" fontId="6" fillId="7" borderId="7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1" fillId="7" borderId="20" xfId="0" applyFont="1" applyFill="1" applyBorder="1" applyAlignment="1">
      <alignment horizontal="center" vertical="center"/>
    </xf>
    <xf numFmtId="0" fontId="21" fillId="7" borderId="18" xfId="0" applyFont="1" applyFill="1" applyBorder="1" applyAlignment="1">
      <alignment horizontal="center" vertical="center"/>
    </xf>
    <xf numFmtId="0" fontId="21" fillId="7" borderId="19"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3" fontId="0" fillId="0" borderId="0" xfId="0" applyNumberFormat="1"/>
    <xf numFmtId="10" fontId="0" fillId="0" borderId="0" xfId="0" applyNumberFormat="1"/>
    <xf numFmtId="9" fontId="0" fillId="0" borderId="0" xfId="0" applyNumberFormat="1"/>
    <xf numFmtId="0" fontId="0" fillId="0" borderId="0" xfId="0" applyAlignment="1">
      <alignment wrapText="1"/>
    </xf>
    <xf numFmtId="0" fontId="22" fillId="0" borderId="0" xfId="0" applyFont="1"/>
    <xf numFmtId="164" fontId="0" fillId="0" borderId="0" xfId="0" applyNumberFormat="1"/>
    <xf numFmtId="164" fontId="1" fillId="0" borderId="0" xfId="1" applyNumberFormat="1" applyFont="1" applyFill="1" applyBorder="1"/>
    <xf numFmtId="164" fontId="7" fillId="2" borderId="18" xfId="1" applyNumberFormat="1" applyFont="1" applyFill="1" applyBorder="1" applyAlignment="1">
      <alignment horizontal="center" vertical="center" wrapText="1"/>
    </xf>
    <xf numFmtId="0" fontId="0" fillId="0" borderId="35" xfId="0" applyBorder="1" applyAlignment="1">
      <alignment wrapText="1"/>
    </xf>
    <xf numFmtId="0" fontId="0" fillId="5" borderId="35" xfId="0" applyFill="1" applyBorder="1" applyAlignment="1">
      <alignment wrapText="1"/>
    </xf>
    <xf numFmtId="164" fontId="0" fillId="5" borderId="18" xfId="1" applyNumberFormat="1" applyFont="1" applyFill="1" applyBorder="1"/>
    <xf numFmtId="0" fontId="0" fillId="9" borderId="35" xfId="0" applyFill="1" applyBorder="1" applyAlignment="1">
      <alignment wrapText="1"/>
    </xf>
    <xf numFmtId="164" fontId="1" fillId="9" borderId="18" xfId="1" applyNumberFormat="1" applyFont="1" applyFill="1" applyBorder="1"/>
    <xf numFmtId="9" fontId="1" fillId="0" borderId="0" xfId="3" applyFont="1" applyFill="1" applyBorder="1"/>
    <xf numFmtId="0" fontId="3" fillId="0" borderId="0" xfId="0" applyFont="1"/>
    <xf numFmtId="0" fontId="24" fillId="5" borderId="0" xfId="7" applyFont="1" applyFill="1"/>
    <xf numFmtId="0" fontId="23" fillId="5" borderId="0" xfId="7" applyFill="1"/>
    <xf numFmtId="0" fontId="23" fillId="5" borderId="0" xfId="7" applyFill="1" applyAlignment="1">
      <alignment horizontal="center"/>
    </xf>
    <xf numFmtId="0" fontId="0" fillId="5" borderId="0" xfId="0" applyFill="1"/>
    <xf numFmtId="0" fontId="23" fillId="0" borderId="0" xfId="7"/>
    <xf numFmtId="0" fontId="25" fillId="5" borderId="0" xfId="7" applyFont="1" applyFill="1"/>
    <xf numFmtId="0" fontId="25" fillId="5" borderId="0" xfId="7" applyFont="1" applyFill="1" applyAlignment="1">
      <alignment horizontal="center"/>
    </xf>
    <xf numFmtId="0" fontId="23" fillId="5" borderId="0" xfId="7" applyFill="1" applyAlignment="1">
      <alignment horizontal="center" vertical="center" wrapText="1"/>
    </xf>
    <xf numFmtId="0" fontId="27" fillId="21" borderId="79" xfId="7" applyFont="1" applyFill="1" applyBorder="1" applyAlignment="1">
      <alignment horizontal="center" vertical="center" wrapText="1"/>
    </xf>
    <xf numFmtId="0" fontId="27" fillId="21" borderId="80" xfId="7" applyFont="1" applyFill="1" applyBorder="1" applyAlignment="1">
      <alignment horizontal="center" vertical="center" wrapText="1"/>
    </xf>
    <xf numFmtId="0" fontId="27" fillId="21" borderId="81" xfId="7" applyFont="1" applyFill="1" applyBorder="1" applyAlignment="1">
      <alignment horizontal="center" vertical="center" wrapText="1"/>
    </xf>
    <xf numFmtId="0" fontId="27" fillId="4" borderId="82" xfId="0" applyFont="1" applyFill="1" applyBorder="1" applyAlignment="1">
      <alignment horizontal="center" vertical="center" wrapText="1"/>
    </xf>
    <xf numFmtId="0" fontId="27" fillId="4" borderId="83" xfId="0" applyFont="1" applyFill="1" applyBorder="1" applyAlignment="1">
      <alignment horizontal="center" vertical="center" wrapText="1"/>
    </xf>
    <xf numFmtId="0" fontId="28" fillId="21" borderId="80" xfId="7" applyFont="1" applyFill="1" applyBorder="1" applyAlignment="1">
      <alignment horizontal="center" vertical="center" wrapText="1"/>
    </xf>
    <xf numFmtId="0" fontId="28" fillId="21" borderId="84" xfId="7" applyFont="1" applyFill="1" applyBorder="1" applyAlignment="1">
      <alignment horizontal="center" vertical="center" wrapText="1"/>
    </xf>
    <xf numFmtId="0" fontId="23" fillId="0" borderId="0" xfId="7" applyAlignment="1">
      <alignment horizontal="center" vertical="center" wrapText="1"/>
    </xf>
    <xf numFmtId="0" fontId="27" fillId="21" borderId="85" xfId="7" applyFont="1" applyFill="1" applyBorder="1" applyAlignment="1">
      <alignment horizontal="center" vertical="center" wrapText="1"/>
    </xf>
    <xf numFmtId="0" fontId="27" fillId="21" borderId="86" xfId="7" applyFont="1" applyFill="1" applyBorder="1" applyAlignment="1">
      <alignment horizontal="center" vertical="center" wrapText="1"/>
    </xf>
    <xf numFmtId="0" fontId="28" fillId="21" borderId="86" xfId="7" applyFont="1" applyFill="1" applyBorder="1" applyAlignment="1">
      <alignment horizontal="center" vertical="center" wrapText="1"/>
    </xf>
    <xf numFmtId="0" fontId="28" fillId="21" borderId="86" xfId="7" quotePrefix="1" applyFont="1" applyFill="1" applyBorder="1" applyAlignment="1">
      <alignment horizontal="center" vertical="center" wrapText="1"/>
    </xf>
    <xf numFmtId="0" fontId="28" fillId="21" borderId="84" xfId="7" quotePrefix="1" applyFont="1" applyFill="1" applyBorder="1" applyAlignment="1">
      <alignment horizontal="center" vertical="center" wrapText="1"/>
    </xf>
    <xf numFmtId="0" fontId="27" fillId="5" borderId="85" xfId="7" applyFont="1" applyFill="1" applyBorder="1" applyAlignment="1">
      <alignment horizontal="center" vertical="center" wrapText="1"/>
    </xf>
    <xf numFmtId="0" fontId="27" fillId="5" borderId="86" xfId="7" applyFont="1" applyFill="1" applyBorder="1" applyAlignment="1">
      <alignment horizontal="center" vertical="center" wrapText="1"/>
    </xf>
    <xf numFmtId="0" fontId="28" fillId="5" borderId="84" xfId="7" applyFont="1" applyFill="1" applyBorder="1" applyAlignment="1">
      <alignment horizontal="center" vertical="center" wrapText="1"/>
    </xf>
    <xf numFmtId="0" fontId="27" fillId="0" borderId="85" xfId="7" applyFont="1" applyBorder="1" applyAlignment="1">
      <alignment horizontal="center"/>
    </xf>
    <xf numFmtId="0" fontId="27" fillId="0" borderId="86" xfId="7" applyFont="1" applyBorder="1" applyAlignment="1">
      <alignment horizontal="center"/>
    </xf>
    <xf numFmtId="164" fontId="27" fillId="0" borderId="86" xfId="1" applyNumberFormat="1" applyFont="1" applyBorder="1" applyAlignment="1">
      <alignment horizontal="right"/>
    </xf>
    <xf numFmtId="10" fontId="28" fillId="0" borderId="86" xfId="3" applyNumberFormat="1" applyFont="1" applyBorder="1" applyAlignment="1">
      <alignment horizontal="right"/>
    </xf>
    <xf numFmtId="3" fontId="28" fillId="0" borderId="87" xfId="7" applyNumberFormat="1" applyFont="1" applyBorder="1" applyAlignment="1">
      <alignment horizontal="center"/>
    </xf>
    <xf numFmtId="43" fontId="23" fillId="0" borderId="0" xfId="1" applyFont="1"/>
    <xf numFmtId="0" fontId="27" fillId="0" borderId="85" xfId="7" applyFont="1" applyBorder="1" applyAlignment="1">
      <alignment horizontal="right"/>
    </xf>
    <xf numFmtId="0" fontId="27" fillId="0" borderId="88" xfId="7" applyFont="1" applyBorder="1" applyAlignment="1">
      <alignment horizontal="center"/>
    </xf>
    <xf numFmtId="0" fontId="27" fillId="0" borderId="89" xfId="7" applyFont="1" applyBorder="1" applyAlignment="1">
      <alignment horizontal="center"/>
    </xf>
    <xf numFmtId="164" fontId="27" fillId="0" borderId="89" xfId="1" applyNumberFormat="1" applyFont="1" applyBorder="1" applyAlignment="1">
      <alignment horizontal="right"/>
    </xf>
    <xf numFmtId="10" fontId="27" fillId="0" borderId="89" xfId="1" applyNumberFormat="1" applyFont="1" applyBorder="1" applyAlignment="1">
      <alignment horizontal="right"/>
    </xf>
    <xf numFmtId="10" fontId="28" fillId="0" borderId="89" xfId="1" applyNumberFormat="1" applyFont="1" applyBorder="1" applyAlignment="1">
      <alignment horizontal="right"/>
    </xf>
    <xf numFmtId="0" fontId="27" fillId="5" borderId="0" xfId="7" applyFont="1" applyFill="1" applyAlignment="1">
      <alignment horizontal="right"/>
    </xf>
    <xf numFmtId="0" fontId="27" fillId="5" borderId="0" xfId="7" applyFont="1" applyFill="1" applyAlignment="1">
      <alignment horizontal="center"/>
    </xf>
    <xf numFmtId="164" fontId="29" fillId="5" borderId="0" xfId="1" applyNumberFormat="1" applyFont="1" applyFill="1" applyBorder="1" applyAlignment="1">
      <alignment horizontal="center" vertical="center"/>
    </xf>
    <xf numFmtId="164" fontId="29" fillId="5" borderId="0" xfId="1" applyNumberFormat="1" applyFont="1" applyFill="1" applyBorder="1" applyAlignment="1">
      <alignment horizontal="center" vertical="center" wrapText="1"/>
    </xf>
    <xf numFmtId="164" fontId="29" fillId="5" borderId="0" xfId="1" applyNumberFormat="1" applyFont="1" applyFill="1" applyBorder="1" applyAlignment="1">
      <alignment horizontal="right"/>
    </xf>
    <xf numFmtId="3" fontId="28" fillId="5" borderId="0" xfId="7" applyNumberFormat="1" applyFont="1" applyFill="1" applyAlignment="1">
      <alignment horizontal="center"/>
    </xf>
    <xf numFmtId="0" fontId="28" fillId="5" borderId="0" xfId="7" applyFont="1" applyFill="1"/>
    <xf numFmtId="0" fontId="11" fillId="5" borderId="0" xfId="7" applyFont="1" applyFill="1" applyAlignment="1">
      <alignment horizontal="center"/>
    </xf>
    <xf numFmtId="0" fontId="11" fillId="5" borderId="0" xfId="7" applyFont="1" applyFill="1"/>
    <xf numFmtId="0" fontId="30" fillId="5" borderId="0" xfId="0" applyFont="1" applyFill="1" applyAlignment="1">
      <alignment horizontal="left" vertical="center" readingOrder="1"/>
    </xf>
    <xf numFmtId="0" fontId="32" fillId="0" borderId="0" xfId="8" applyFont="1"/>
    <xf numFmtId="0" fontId="31" fillId="0" borderId="0" xfId="8"/>
    <xf numFmtId="0" fontId="31" fillId="0" borderId="0" xfId="8" applyAlignment="1">
      <alignment vertical="top"/>
    </xf>
    <xf numFmtId="0" fontId="35" fillId="0" borderId="0" xfId="0" applyFont="1"/>
    <xf numFmtId="164" fontId="0" fillId="0" borderId="18" xfId="0" applyNumberFormat="1" applyBorder="1"/>
    <xf numFmtId="0" fontId="7" fillId="0" borderId="0" xfId="0" applyFont="1" applyAlignment="1">
      <alignment horizontal="center" vertical="center" wrapText="1"/>
    </xf>
    <xf numFmtId="10" fontId="0" fillId="0" borderId="0" xfId="3" applyNumberFormat="1" applyFont="1" applyFill="1" applyBorder="1" applyAlignment="1">
      <alignment horizontal="center" vertical="center"/>
    </xf>
    <xf numFmtId="0" fontId="37" fillId="0" borderId="0" xfId="8" applyFont="1" applyAlignment="1">
      <alignment vertical="center"/>
    </xf>
    <xf numFmtId="0" fontId="37" fillId="0" borderId="24" xfId="8" applyFont="1" applyBorder="1" applyAlignment="1">
      <alignment vertical="center"/>
    </xf>
    <xf numFmtId="0" fontId="37" fillId="0" borderId="24" xfId="8" applyFont="1" applyBorder="1" applyAlignment="1">
      <alignment horizontal="center" vertical="center"/>
    </xf>
    <xf numFmtId="0" fontId="37" fillId="0" borderId="0" xfId="8" applyFont="1" applyAlignment="1">
      <alignment horizontal="center" vertical="center"/>
    </xf>
    <xf numFmtId="44" fontId="0" fillId="0" borderId="18" xfId="2" applyFont="1" applyFill="1" applyBorder="1" applyProtection="1">
      <protection hidden="1"/>
    </xf>
    <xf numFmtId="44" fontId="0" fillId="0" borderId="18" xfId="2" applyFont="1" applyFill="1" applyBorder="1" applyProtection="1">
      <protection locked="0"/>
    </xf>
    <xf numFmtId="165" fontId="3" fillId="3" borderId="22" xfId="0" applyNumberFormat="1" applyFont="1" applyFill="1" applyBorder="1" applyAlignment="1">
      <alignment horizontal="center"/>
    </xf>
    <xf numFmtId="0" fontId="11" fillId="0" borderId="14" xfId="0" applyFont="1" applyBorder="1"/>
    <xf numFmtId="164" fontId="3" fillId="3" borderId="72" xfId="0" applyNumberFormat="1" applyFont="1" applyFill="1" applyBorder="1" applyAlignment="1">
      <alignment horizontal="center"/>
    </xf>
    <xf numFmtId="165" fontId="8" fillId="3" borderId="21" xfId="0" applyNumberFormat="1" applyFont="1" applyFill="1" applyBorder="1" applyAlignment="1">
      <alignment horizontal="center"/>
    </xf>
    <xf numFmtId="3" fontId="28" fillId="0" borderId="90" xfId="1" applyNumberFormat="1" applyFont="1" applyBorder="1" applyAlignment="1">
      <alignment horizontal="center"/>
    </xf>
    <xf numFmtId="0" fontId="42" fillId="2" borderId="21" xfId="0" applyFont="1" applyFill="1" applyBorder="1" applyAlignment="1">
      <alignment horizontal="center" vertical="center" wrapText="1"/>
    </xf>
    <xf numFmtId="0" fontId="42" fillId="2" borderId="64" xfId="0" applyFont="1" applyFill="1" applyBorder="1" applyAlignment="1">
      <alignment horizontal="center" vertical="center" wrapText="1"/>
    </xf>
    <xf numFmtId="0" fontId="43" fillId="3" borderId="58" xfId="0" applyFont="1" applyFill="1" applyBorder="1" applyAlignment="1">
      <alignment horizontal="center" vertical="center" wrapText="1"/>
    </xf>
    <xf numFmtId="0" fontId="43" fillId="3" borderId="60" xfId="0" applyFont="1" applyFill="1" applyBorder="1" applyAlignment="1">
      <alignment horizontal="center" vertical="center" wrapText="1"/>
    </xf>
    <xf numFmtId="165" fontId="0" fillId="0" borderId="55" xfId="2" applyNumberFormat="1" applyFont="1" applyBorder="1"/>
    <xf numFmtId="165" fontId="0" fillId="0" borderId="76" xfId="2" applyNumberFormat="1" applyFont="1" applyBorder="1"/>
    <xf numFmtId="165" fontId="3" fillId="0" borderId="28" xfId="0" applyNumberFormat="1" applyFont="1" applyBorder="1"/>
    <xf numFmtId="165" fontId="0" fillId="0" borderId="55" xfId="0" applyNumberFormat="1" applyBorder="1"/>
    <xf numFmtId="164" fontId="0" fillId="0" borderId="18" xfId="1" applyNumberFormat="1" applyFont="1" applyBorder="1" applyAlignment="1">
      <alignment horizontal="right"/>
    </xf>
    <xf numFmtId="0" fontId="0" fillId="0" borderId="18" xfId="1" applyNumberFormat="1" applyFont="1" applyBorder="1" applyAlignment="1">
      <alignment horizontal="right"/>
    </xf>
    <xf numFmtId="164" fontId="0" fillId="9" borderId="18" xfId="1" applyNumberFormat="1" applyFont="1" applyFill="1" applyBorder="1" applyAlignment="1">
      <alignment horizontal="right"/>
    </xf>
    <xf numFmtId="0" fontId="0" fillId="0" borderId="18" xfId="3" applyNumberFormat="1" applyFont="1" applyBorder="1" applyAlignment="1">
      <alignment horizontal="right"/>
    </xf>
    <xf numFmtId="0" fontId="7" fillId="2" borderId="31" xfId="1" applyNumberFormat="1" applyFont="1" applyFill="1" applyBorder="1" applyAlignment="1">
      <alignment horizontal="center" vertical="center" wrapText="1"/>
    </xf>
    <xf numFmtId="0" fontId="7" fillId="2" borderId="18" xfId="1" applyNumberFormat="1" applyFont="1" applyFill="1" applyBorder="1" applyAlignment="1">
      <alignment horizontal="center" vertical="center" wrapText="1"/>
    </xf>
    <xf numFmtId="0" fontId="0" fillId="0" borderId="18" xfId="0" applyBorder="1" applyAlignment="1">
      <alignment horizontal="center" wrapText="1"/>
    </xf>
    <xf numFmtId="3" fontId="0" fillId="22" borderId="18" xfId="0" applyNumberFormat="1" applyFill="1" applyBorder="1" applyAlignment="1">
      <alignment horizontal="center" vertical="center" wrapText="1"/>
    </xf>
    <xf numFmtId="0" fontId="0" fillId="0" borderId="35" xfId="0" applyBorder="1" applyAlignment="1">
      <alignment vertical="center"/>
    </xf>
    <xf numFmtId="164" fontId="3" fillId="3" borderId="38" xfId="1" applyNumberFormat="1" applyFont="1" applyFill="1" applyBorder="1" applyAlignment="1">
      <alignment horizontal="center" vertical="center"/>
    </xf>
    <xf numFmtId="0" fontId="3" fillId="3" borderId="1" xfId="0" applyFont="1" applyFill="1" applyBorder="1"/>
    <xf numFmtId="0" fontId="0" fillId="0" borderId="9" xfId="0" applyBorder="1" applyAlignment="1">
      <alignment horizontal="left" vertical="center" wrapText="1"/>
    </xf>
    <xf numFmtId="0" fontId="0" fillId="0" borderId="28" xfId="0" applyBorder="1" applyAlignment="1">
      <alignment vertical="center" wrapText="1"/>
    </xf>
    <xf numFmtId="0" fontId="0" fillId="0" borderId="69" xfId="0" applyBorder="1" applyAlignment="1">
      <alignment horizontal="left" vertical="center" wrapText="1"/>
    </xf>
    <xf numFmtId="0" fontId="0" fillId="0" borderId="28" xfId="0" applyBorder="1" applyAlignment="1">
      <alignment horizontal="left" vertical="center" wrapText="1"/>
    </xf>
    <xf numFmtId="0" fontId="3" fillId="3" borderId="3" xfId="0" applyFont="1" applyFill="1" applyBorder="1"/>
    <xf numFmtId="0" fontId="0" fillId="2" borderId="54" xfId="0" applyFill="1" applyBorder="1" applyAlignment="1">
      <alignment vertical="center" wrapText="1"/>
    </xf>
    <xf numFmtId="0" fontId="0" fillId="2" borderId="42" xfId="0" applyFill="1" applyBorder="1" applyAlignment="1">
      <alignment vertical="center" wrapText="1"/>
    </xf>
    <xf numFmtId="0" fontId="0" fillId="0" borderId="73" xfId="0" applyBorder="1"/>
    <xf numFmtId="0" fontId="3" fillId="3" borderId="12" xfId="0" applyFont="1" applyFill="1" applyBorder="1"/>
    <xf numFmtId="165" fontId="3" fillId="3" borderId="2" xfId="0" applyNumberFormat="1" applyFont="1" applyFill="1" applyBorder="1" applyAlignment="1">
      <alignment horizontal="center" vertical="center"/>
    </xf>
    <xf numFmtId="165" fontId="3" fillId="3" borderId="64" xfId="0" applyNumberFormat="1" applyFont="1" applyFill="1" applyBorder="1" applyAlignment="1">
      <alignment horizontal="center" vertical="center"/>
    </xf>
    <xf numFmtId="0" fontId="45" fillId="0" borderId="0" xfId="0" applyFont="1"/>
    <xf numFmtId="0" fontId="47" fillId="25" borderId="18" xfId="0" applyFont="1" applyFill="1" applyBorder="1" applyAlignment="1">
      <alignment horizontal="center" vertical="center"/>
    </xf>
    <xf numFmtId="0" fontId="47" fillId="25" borderId="18" xfId="0" applyFont="1" applyFill="1" applyBorder="1" applyAlignment="1">
      <alignment horizontal="center" vertical="center" wrapText="1"/>
    </xf>
    <xf numFmtId="0" fontId="48" fillId="0" borderId="18" xfId="0" applyFont="1" applyBorder="1"/>
    <xf numFmtId="10" fontId="17" fillId="0" borderId="18" xfId="0" applyNumberFormat="1" applyFont="1" applyBorder="1" applyAlignment="1">
      <alignment horizontal="center"/>
    </xf>
    <xf numFmtId="167" fontId="0" fillId="0" borderId="0" xfId="1" applyNumberFormat="1" applyFont="1"/>
    <xf numFmtId="0" fontId="0" fillId="0" borderId="93" xfId="0" applyBorder="1" applyAlignment="1">
      <alignment vertical="center" wrapText="1"/>
    </xf>
    <xf numFmtId="0" fontId="3" fillId="3" borderId="21" xfId="0" applyFont="1" applyFill="1" applyBorder="1"/>
    <xf numFmtId="0" fontId="3" fillId="3" borderId="38" xfId="0" applyFont="1" applyFill="1" applyBorder="1"/>
    <xf numFmtId="165" fontId="3" fillId="3" borderId="21" xfId="2" applyNumberFormat="1" applyFont="1" applyFill="1" applyBorder="1" applyAlignment="1">
      <alignment horizontal="center"/>
    </xf>
    <xf numFmtId="165" fontId="3" fillId="3" borderId="64" xfId="2" applyNumberFormat="1" applyFont="1" applyFill="1" applyBorder="1" applyAlignment="1">
      <alignment horizontal="center"/>
    </xf>
    <xf numFmtId="0" fontId="43" fillId="3" borderId="1" xfId="0" applyFont="1" applyFill="1" applyBorder="1" applyAlignment="1">
      <alignment horizontal="center" vertical="center" wrapText="1"/>
    </xf>
    <xf numFmtId="0" fontId="43" fillId="3" borderId="33"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43" fillId="3" borderId="65" xfId="0" applyFont="1" applyFill="1" applyBorder="1" applyAlignment="1">
      <alignment horizontal="center" vertical="center" wrapText="1"/>
    </xf>
    <xf numFmtId="0" fontId="3" fillId="3" borderId="64" xfId="0" applyFont="1" applyFill="1" applyBorder="1"/>
    <xf numFmtId="165" fontId="3" fillId="3" borderId="21" xfId="2" applyNumberFormat="1" applyFont="1" applyFill="1" applyBorder="1"/>
    <xf numFmtId="165" fontId="3" fillId="3" borderId="64" xfId="2" applyNumberFormat="1" applyFont="1" applyFill="1" applyBorder="1"/>
    <xf numFmtId="164" fontId="3" fillId="3" borderId="64" xfId="1" applyNumberFormat="1" applyFont="1" applyFill="1" applyBorder="1" applyAlignment="1"/>
    <xf numFmtId="164" fontId="3" fillId="3" borderId="38" xfId="1" applyNumberFormat="1" applyFont="1" applyFill="1" applyBorder="1" applyAlignment="1"/>
    <xf numFmtId="164" fontId="3" fillId="6" borderId="21" xfId="1" applyNumberFormat="1" applyFont="1" applyFill="1" applyBorder="1" applyAlignment="1"/>
    <xf numFmtId="164" fontId="3" fillId="6" borderId="64" xfId="1" applyNumberFormat="1" applyFont="1" applyFill="1" applyBorder="1" applyAlignment="1"/>
    <xf numFmtId="164" fontId="3" fillId="3" borderId="21" xfId="1" applyNumberFormat="1" applyFont="1" applyFill="1" applyBorder="1" applyAlignment="1">
      <alignment horizontal="center"/>
    </xf>
    <xf numFmtId="164" fontId="3" fillId="3" borderId="64" xfId="1" applyNumberFormat="1" applyFont="1" applyFill="1" applyBorder="1" applyAlignment="1">
      <alignment horizontal="center"/>
    </xf>
    <xf numFmtId="0" fontId="3" fillId="3" borderId="63" xfId="0" applyFont="1" applyFill="1" applyBorder="1"/>
    <xf numFmtId="164" fontId="31" fillId="0" borderId="18" xfId="8" applyNumberFormat="1" applyBorder="1"/>
    <xf numFmtId="0" fontId="31" fillId="0" borderId="18" xfId="0" applyFont="1" applyBorder="1" applyAlignment="1">
      <alignment vertical="center" wrapText="1"/>
    </xf>
    <xf numFmtId="0" fontId="37" fillId="0" borderId="18" xfId="8" applyFont="1" applyBorder="1"/>
    <xf numFmtId="0" fontId="7" fillId="2" borderId="29" xfId="0" applyFont="1" applyFill="1" applyBorder="1" applyAlignment="1" applyProtection="1">
      <alignment horizontal="center" vertical="center" wrapText="1"/>
      <protection locked="0"/>
    </xf>
    <xf numFmtId="0" fontId="51" fillId="5" borderId="68" xfId="7" applyFont="1" applyFill="1" applyBorder="1"/>
    <xf numFmtId="165" fontId="3" fillId="0" borderId="58" xfId="2" applyNumberFormat="1" applyFont="1" applyBorder="1" applyAlignment="1">
      <alignment horizontal="center" wrapText="1"/>
    </xf>
    <xf numFmtId="165" fontId="3" fillId="0" borderId="41" xfId="2" applyNumberFormat="1" applyFont="1" applyBorder="1" applyAlignment="1">
      <alignment horizontal="center" wrapText="1"/>
    </xf>
    <xf numFmtId="165" fontId="3" fillId="0" borderId="1" xfId="2" applyNumberFormat="1" applyFont="1" applyBorder="1" applyAlignment="1">
      <alignment horizontal="center" wrapText="1"/>
    </xf>
    <xf numFmtId="165" fontId="0" fillId="0" borderId="0" xfId="0" applyNumberFormat="1"/>
    <xf numFmtId="165" fontId="0" fillId="0" borderId="76" xfId="0" applyNumberFormat="1" applyBorder="1"/>
    <xf numFmtId="165" fontId="3" fillId="0" borderId="26" xfId="2" applyNumberFormat="1" applyFont="1" applyBorder="1"/>
    <xf numFmtId="165" fontId="0" fillId="0" borderId="55" xfId="2" applyNumberFormat="1" applyFont="1" applyFill="1" applyBorder="1"/>
    <xf numFmtId="165" fontId="0" fillId="0" borderId="15" xfId="2" applyNumberFormat="1" applyFont="1" applyBorder="1"/>
    <xf numFmtId="43" fontId="3" fillId="0" borderId="26" xfId="1" applyFont="1" applyBorder="1"/>
    <xf numFmtId="43" fontId="3" fillId="0" borderId="18" xfId="1" applyFont="1" applyBorder="1"/>
    <xf numFmtId="165" fontId="0" fillId="0" borderId="75" xfId="2" applyNumberFormat="1" applyFont="1" applyBorder="1"/>
    <xf numFmtId="165" fontId="0" fillId="0" borderId="45" xfId="0" applyNumberFormat="1" applyBorder="1"/>
    <xf numFmtId="165" fontId="0" fillId="0" borderId="45" xfId="2" applyNumberFormat="1" applyFont="1" applyBorder="1"/>
    <xf numFmtId="165" fontId="0" fillId="0" borderId="74" xfId="2" applyNumberFormat="1" applyFont="1" applyBorder="1"/>
    <xf numFmtId="165" fontId="0" fillId="0" borderId="69" xfId="2" applyNumberFormat="1" applyFont="1" applyBorder="1"/>
    <xf numFmtId="165" fontId="3" fillId="0" borderId="55" xfId="2" applyNumberFormat="1" applyFont="1" applyBorder="1"/>
    <xf numFmtId="165" fontId="3" fillId="0" borderId="62" xfId="2" applyNumberFormat="1" applyFont="1" applyBorder="1"/>
    <xf numFmtId="165" fontId="3" fillId="0" borderId="68" xfId="0" applyNumberFormat="1" applyFont="1" applyBorder="1"/>
    <xf numFmtId="165" fontId="3" fillId="0" borderId="29" xfId="2" applyNumberFormat="1" applyFont="1" applyBorder="1"/>
    <xf numFmtId="43" fontId="3" fillId="0" borderId="53" xfId="1" applyFont="1" applyBorder="1"/>
    <xf numFmtId="43" fontId="3" fillId="0" borderId="36" xfId="1" applyFont="1" applyBorder="1"/>
    <xf numFmtId="169" fontId="0" fillId="0" borderId="18" xfId="2" applyNumberFormat="1" applyFont="1" applyBorder="1" applyAlignment="1">
      <alignment horizontal="right"/>
    </xf>
    <xf numFmtId="169" fontId="0" fillId="0" borderId="18" xfId="3" applyNumberFormat="1" applyFont="1" applyBorder="1" applyAlignment="1">
      <alignment horizontal="right"/>
    </xf>
    <xf numFmtId="169" fontId="0" fillId="0" borderId="18" xfId="0" applyNumberFormat="1" applyBorder="1" applyAlignment="1">
      <alignment horizontal="right"/>
    </xf>
    <xf numFmtId="43" fontId="0" fillId="0" borderId="18" xfId="3" applyNumberFormat="1" applyFont="1" applyBorder="1" applyAlignment="1">
      <alignment horizontal="right"/>
    </xf>
    <xf numFmtId="0" fontId="7" fillId="2" borderId="94" xfId="0" applyFont="1" applyFill="1" applyBorder="1" applyAlignment="1">
      <alignment horizontal="center" vertical="center" wrapText="1"/>
    </xf>
    <xf numFmtId="164" fontId="17" fillId="0" borderId="95" xfId="0" applyNumberFormat="1" applyFont="1" applyBorder="1" applyAlignment="1">
      <alignment horizontal="center" vertical="center"/>
    </xf>
    <xf numFmtId="164" fontId="17" fillId="0" borderId="30" xfId="0" applyNumberFormat="1" applyFont="1" applyBorder="1" applyAlignment="1">
      <alignment horizontal="center" vertical="center"/>
    </xf>
    <xf numFmtId="164" fontId="17" fillId="26" borderId="30" xfId="0" applyNumberFormat="1" applyFont="1" applyFill="1" applyBorder="1" applyAlignment="1">
      <alignment horizontal="center" vertical="center"/>
    </xf>
    <xf numFmtId="0" fontId="17" fillId="26" borderId="30" xfId="0" applyFont="1" applyFill="1" applyBorder="1" applyAlignment="1">
      <alignment horizontal="center" vertical="center"/>
    </xf>
    <xf numFmtId="0" fontId="17" fillId="26" borderId="31" xfId="0" applyFont="1" applyFill="1" applyBorder="1" applyAlignment="1">
      <alignment horizontal="center" vertical="center"/>
    </xf>
    <xf numFmtId="0" fontId="7" fillId="2" borderId="96" xfId="0" applyFont="1" applyFill="1" applyBorder="1" applyAlignment="1">
      <alignment horizontal="center" vertical="center" wrapText="1"/>
    </xf>
    <xf numFmtId="164" fontId="1" fillId="0" borderId="97" xfId="1" applyNumberFormat="1" applyFont="1" applyBorder="1" applyAlignment="1">
      <alignment horizontal="center" vertical="center"/>
    </xf>
    <xf numFmtId="164" fontId="1" fillId="0" borderId="13" xfId="1" applyNumberFormat="1" applyFont="1" applyBorder="1" applyAlignment="1">
      <alignment horizontal="center" vertical="center"/>
    </xf>
    <xf numFmtId="10" fontId="1" fillId="0" borderId="13" xfId="0" applyNumberFormat="1" applyFont="1" applyBorder="1" applyAlignment="1">
      <alignment horizontal="center" vertical="center"/>
    </xf>
    <xf numFmtId="9" fontId="1" fillId="0" borderId="11" xfId="0" applyNumberFormat="1" applyFont="1" applyBorder="1" applyAlignment="1">
      <alignment horizontal="center" vertical="center"/>
    </xf>
    <xf numFmtId="0" fontId="38" fillId="0" borderId="0" xfId="0" applyFont="1" applyAlignment="1">
      <alignment horizontal="left" vertical="top" wrapText="1"/>
    </xf>
    <xf numFmtId="171" fontId="0" fillId="0" borderId="0" xfId="0" applyNumberFormat="1"/>
    <xf numFmtId="171" fontId="0" fillId="0" borderId="0" xfId="0" applyNumberFormat="1" applyAlignment="1">
      <alignment wrapText="1"/>
    </xf>
    <xf numFmtId="0" fontId="0" fillId="5" borderId="56" xfId="0" applyFill="1" applyBorder="1" applyAlignment="1">
      <alignment horizontal="left" vertical="center"/>
    </xf>
    <xf numFmtId="0" fontId="28" fillId="5" borderId="86" xfId="7" applyFont="1" applyFill="1" applyBorder="1" applyAlignment="1">
      <alignment horizontal="center" vertical="center" wrapText="1"/>
    </xf>
    <xf numFmtId="167" fontId="0" fillId="0" borderId="0" xfId="0" applyNumberFormat="1"/>
    <xf numFmtId="170" fontId="0" fillId="0" borderId="0" xfId="0" applyNumberFormat="1"/>
    <xf numFmtId="0" fontId="54" fillId="2" borderId="8" xfId="0" applyFont="1" applyFill="1" applyBorder="1" applyAlignment="1">
      <alignment horizontal="center" vertical="center" wrapText="1"/>
    </xf>
    <xf numFmtId="0" fontId="39" fillId="0" borderId="0" xfId="0" applyFont="1" applyAlignment="1">
      <alignment vertical="top"/>
    </xf>
    <xf numFmtId="0" fontId="0" fillId="24" borderId="37" xfId="0" applyFill="1" applyBorder="1" applyAlignment="1">
      <alignment wrapText="1"/>
    </xf>
    <xf numFmtId="164" fontId="0" fillId="0" borderId="67" xfId="1" applyNumberFormat="1" applyFont="1" applyBorder="1" applyAlignment="1">
      <alignment wrapText="1"/>
    </xf>
    <xf numFmtId="164" fontId="0" fillId="0" borderId="20" xfId="1" applyNumberFormat="1" applyFont="1" applyBorder="1" applyAlignment="1">
      <alignment wrapText="1"/>
    </xf>
    <xf numFmtId="164" fontId="0" fillId="0" borderId="32" xfId="1" applyNumberFormat="1" applyFont="1" applyBorder="1" applyAlignment="1">
      <alignment wrapText="1"/>
    </xf>
    <xf numFmtId="164" fontId="0" fillId="0" borderId="28" xfId="1" applyNumberFormat="1" applyFont="1" applyBorder="1" applyAlignment="1">
      <alignment wrapText="1"/>
    </xf>
    <xf numFmtId="43" fontId="0" fillId="0" borderId="28" xfId="1" applyFont="1" applyBorder="1" applyAlignment="1">
      <alignment wrapText="1"/>
    </xf>
    <xf numFmtId="164" fontId="0" fillId="0" borderId="91" xfId="1" applyNumberFormat="1" applyFont="1" applyBorder="1" applyAlignment="1">
      <alignment wrapText="1"/>
    </xf>
    <xf numFmtId="164" fontId="0" fillId="0" borderId="56" xfId="1" applyNumberFormat="1" applyFont="1" applyBorder="1" applyAlignment="1">
      <alignment wrapText="1"/>
    </xf>
    <xf numFmtId="164" fontId="0" fillId="24" borderId="30" xfId="1" applyNumberFormat="1" applyFont="1" applyFill="1" applyBorder="1" applyAlignment="1">
      <alignment wrapText="1"/>
    </xf>
    <xf numFmtId="0" fontId="0" fillId="24" borderId="56" xfId="0" applyFill="1" applyBorder="1" applyAlignment="1">
      <alignment wrapText="1"/>
    </xf>
    <xf numFmtId="164" fontId="0" fillId="0" borderId="68" xfId="1" applyNumberFormat="1" applyFont="1" applyBorder="1" applyAlignment="1">
      <alignment wrapText="1"/>
    </xf>
    <xf numFmtId="167" fontId="0" fillId="0" borderId="27" xfId="1" applyNumberFormat="1" applyFont="1" applyFill="1" applyBorder="1" applyAlignment="1">
      <alignment wrapText="1"/>
    </xf>
    <xf numFmtId="167" fontId="0" fillId="0" borderId="19" xfId="1" applyNumberFormat="1" applyFont="1" applyFill="1" applyBorder="1" applyAlignment="1">
      <alignment wrapText="1"/>
    </xf>
    <xf numFmtId="167" fontId="0" fillId="0" borderId="91" xfId="1" applyNumberFormat="1" applyFont="1" applyFill="1" applyBorder="1" applyAlignment="1">
      <alignment wrapText="1"/>
    </xf>
    <xf numFmtId="164" fontId="0" fillId="24" borderId="70" xfId="1" applyNumberFormat="1" applyFont="1" applyFill="1" applyBorder="1" applyAlignment="1">
      <alignment wrapText="1"/>
    </xf>
    <xf numFmtId="164" fontId="0" fillId="0" borderId="77" xfId="1" applyNumberFormat="1" applyFont="1" applyBorder="1" applyAlignment="1">
      <alignment wrapText="1"/>
    </xf>
    <xf numFmtId="164" fontId="0" fillId="0" borderId="20" xfId="1" applyNumberFormat="1" applyFont="1" applyFill="1" applyBorder="1" applyAlignment="1">
      <alignment wrapText="1"/>
    </xf>
    <xf numFmtId="0" fontId="7" fillId="2" borderId="33" xfId="0" applyFont="1" applyFill="1" applyBorder="1" applyAlignment="1">
      <alignment horizontal="center" vertical="center" wrapText="1"/>
    </xf>
    <xf numFmtId="0" fontId="7" fillId="2" borderId="58" xfId="0" applyFont="1" applyFill="1" applyBorder="1" applyAlignment="1">
      <alignment horizontal="center" vertical="center" wrapText="1"/>
    </xf>
    <xf numFmtId="164" fontId="7" fillId="2" borderId="60" xfId="1" applyNumberFormat="1" applyFont="1" applyFill="1" applyBorder="1" applyAlignment="1">
      <alignment horizontal="center" vertical="center" wrapText="1"/>
    </xf>
    <xf numFmtId="0" fontId="7" fillId="2" borderId="49" xfId="1" applyNumberFormat="1" applyFont="1" applyFill="1" applyBorder="1" applyAlignment="1">
      <alignment horizontal="center" vertical="center"/>
    </xf>
    <xf numFmtId="0" fontId="0" fillId="0" borderId="98" xfId="0" applyBorder="1" applyAlignment="1">
      <alignment wrapText="1"/>
    </xf>
    <xf numFmtId="9" fontId="0" fillId="0" borderId="31" xfId="3" applyFont="1" applyBorder="1" applyAlignment="1">
      <alignment wrapText="1"/>
    </xf>
    <xf numFmtId="9" fontId="0" fillId="24" borderId="68" xfId="3" applyFont="1" applyFill="1" applyBorder="1" applyAlignment="1">
      <alignment wrapText="1"/>
    </xf>
    <xf numFmtId="0" fontId="0" fillId="24" borderId="0" xfId="0" applyFill="1" applyAlignment="1">
      <alignment wrapText="1"/>
    </xf>
    <xf numFmtId="9" fontId="0" fillId="24" borderId="76" xfId="3" applyFont="1" applyFill="1" applyBorder="1" applyAlignment="1">
      <alignment wrapText="1"/>
    </xf>
    <xf numFmtId="0" fontId="0" fillId="0" borderId="99" xfId="0" applyBorder="1" applyAlignment="1">
      <alignment wrapText="1"/>
    </xf>
    <xf numFmtId="0" fontId="0" fillId="24" borderId="43" xfId="0" applyFill="1" applyBorder="1" applyAlignment="1">
      <alignment wrapText="1"/>
    </xf>
    <xf numFmtId="9" fontId="0" fillId="24" borderId="59" xfId="3" applyFont="1" applyFill="1" applyBorder="1" applyAlignment="1">
      <alignment wrapText="1"/>
    </xf>
    <xf numFmtId="166" fontId="3" fillId="8" borderId="39" xfId="3" applyNumberFormat="1" applyFont="1" applyFill="1" applyBorder="1" applyAlignment="1">
      <alignment horizontal="center"/>
    </xf>
    <xf numFmtId="0" fontId="14" fillId="0" borderId="0" xfId="0" applyFont="1"/>
    <xf numFmtId="164" fontId="0" fillId="27" borderId="32" xfId="1" applyNumberFormat="1" applyFont="1" applyFill="1" applyBorder="1" applyAlignment="1">
      <alignment horizontal="center" vertical="center"/>
    </xf>
    <xf numFmtId="164" fontId="0" fillId="28" borderId="18" xfId="1" applyNumberFormat="1" applyFont="1" applyFill="1" applyBorder="1" applyAlignment="1">
      <alignment horizontal="center" vertical="center"/>
    </xf>
    <xf numFmtId="164" fontId="14" fillId="19" borderId="23" xfId="1" applyNumberFormat="1" applyFont="1" applyFill="1" applyBorder="1" applyAlignment="1">
      <alignment horizontal="center"/>
    </xf>
    <xf numFmtId="0" fontId="47" fillId="29" borderId="18" xfId="0" applyFont="1" applyFill="1" applyBorder="1" applyAlignment="1">
      <alignment horizontal="center" vertical="center"/>
    </xf>
    <xf numFmtId="0" fontId="47" fillId="29" borderId="18" xfId="0" applyFont="1" applyFill="1" applyBorder="1" applyAlignment="1">
      <alignment horizontal="center" vertical="center" wrapText="1"/>
    </xf>
    <xf numFmtId="167" fontId="0" fillId="0" borderId="18" xfId="1" applyNumberFormat="1" applyFont="1" applyBorder="1"/>
    <xf numFmtId="0" fontId="53" fillId="0" borderId="0" xfId="0" applyFont="1" applyAlignment="1">
      <alignment vertical="top"/>
    </xf>
    <xf numFmtId="0" fontId="6" fillId="7" borderId="100" xfId="0" applyFont="1" applyFill="1" applyBorder="1" applyAlignment="1">
      <alignment horizontal="center" vertical="center" wrapText="1"/>
    </xf>
    <xf numFmtId="0" fontId="6" fillId="7" borderId="101"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7" fillId="2" borderId="106"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3" fillId="3" borderId="109" xfId="0" applyFont="1" applyFill="1" applyBorder="1"/>
    <xf numFmtId="0" fontId="3" fillId="3" borderId="110" xfId="0" applyFont="1" applyFill="1" applyBorder="1" applyAlignment="1">
      <alignment horizontal="center" vertical="center" wrapText="1"/>
    </xf>
    <xf numFmtId="0" fontId="0" fillId="0" borderId="109" xfId="0" applyBorder="1" applyAlignment="1">
      <alignment horizontal="left" vertical="center" wrapText="1"/>
    </xf>
    <xf numFmtId="0" fontId="3" fillId="3" borderId="117" xfId="0" applyFont="1" applyFill="1" applyBorder="1"/>
    <xf numFmtId="164" fontId="3" fillId="3" borderId="108" xfId="1" applyNumberFormat="1" applyFont="1" applyFill="1" applyBorder="1" applyAlignment="1">
      <alignment horizontal="center" vertical="center"/>
    </xf>
    <xf numFmtId="0" fontId="0" fillId="2" borderId="118" xfId="0" applyFill="1" applyBorder="1" applyAlignment="1">
      <alignment vertical="center" wrapText="1"/>
    </xf>
    <xf numFmtId="0" fontId="0" fillId="2" borderId="119" xfId="0" applyFill="1" applyBorder="1" applyAlignment="1">
      <alignment vertical="center" wrapText="1"/>
    </xf>
    <xf numFmtId="164" fontId="0" fillId="2" borderId="119" xfId="1" applyNumberFormat="1" applyFont="1" applyFill="1" applyBorder="1" applyAlignment="1">
      <alignment horizontal="center" vertical="center" wrapText="1"/>
    </xf>
    <xf numFmtId="0" fontId="0" fillId="0" borderId="121" xfId="0" applyBorder="1"/>
    <xf numFmtId="164" fontId="0" fillId="0" borderId="114" xfId="1" applyNumberFormat="1" applyFont="1" applyFill="1" applyBorder="1" applyAlignment="1">
      <alignment horizontal="center" vertical="center"/>
    </xf>
    <xf numFmtId="0" fontId="3" fillId="3" borderId="122" xfId="0" applyFont="1" applyFill="1" applyBorder="1"/>
    <xf numFmtId="164" fontId="3" fillId="3" borderId="116" xfId="1" applyNumberFormat="1" applyFont="1" applyFill="1" applyBorder="1" applyAlignment="1">
      <alignment horizontal="center" vertical="center"/>
    </xf>
    <xf numFmtId="0" fontId="3" fillId="3" borderId="123" xfId="0" applyFont="1" applyFill="1" applyBorder="1"/>
    <xf numFmtId="164" fontId="3" fillId="3" borderId="124" xfId="1" applyNumberFormat="1" applyFont="1" applyFill="1" applyBorder="1" applyAlignment="1"/>
    <xf numFmtId="164" fontId="3" fillId="6" borderId="125" xfId="1" applyNumberFormat="1" applyFont="1" applyFill="1" applyBorder="1" applyAlignment="1"/>
    <xf numFmtId="164" fontId="3" fillId="6" borderId="126" xfId="1" applyNumberFormat="1" applyFont="1" applyFill="1" applyBorder="1" applyAlignment="1"/>
    <xf numFmtId="165" fontId="3" fillId="3" borderId="125" xfId="2" applyNumberFormat="1" applyFont="1" applyFill="1" applyBorder="1" applyAlignment="1">
      <alignment horizontal="center"/>
    </xf>
    <xf numFmtId="165" fontId="3" fillId="3" borderId="127" xfId="2" applyNumberFormat="1" applyFont="1" applyFill="1" applyBorder="1" applyAlignment="1">
      <alignment horizontal="center"/>
    </xf>
    <xf numFmtId="164" fontId="3" fillId="6" borderId="128" xfId="1" applyNumberFormat="1" applyFont="1" applyFill="1" applyBorder="1" applyAlignment="1"/>
    <xf numFmtId="166" fontId="14" fillId="0" borderId="22" xfId="3" applyNumberFormat="1" applyFont="1" applyFill="1" applyBorder="1" applyAlignment="1">
      <alignment horizontal="center" vertical="center"/>
    </xf>
    <xf numFmtId="166" fontId="14" fillId="0" borderId="24" xfId="3" applyNumberFormat="1" applyFont="1" applyFill="1" applyBorder="1" applyAlignment="1">
      <alignment horizontal="center" vertical="center"/>
    </xf>
    <xf numFmtId="166" fontId="14" fillId="0" borderId="18" xfId="3" applyNumberFormat="1" applyFont="1" applyFill="1" applyBorder="1" applyAlignment="1">
      <alignment horizontal="center" vertical="center"/>
    </xf>
    <xf numFmtId="166" fontId="0" fillId="0" borderId="8" xfId="3" applyNumberFormat="1" applyFont="1" applyFill="1" applyBorder="1" applyAlignment="1">
      <alignment horizontal="center" vertical="center"/>
    </xf>
    <xf numFmtId="164" fontId="19" fillId="0" borderId="32" xfId="1" applyNumberFormat="1" applyFont="1" applyFill="1" applyBorder="1" applyAlignment="1">
      <alignment horizontal="center" vertical="center"/>
    </xf>
    <xf numFmtId="166" fontId="0" fillId="0" borderId="30" xfId="3" applyNumberFormat="1" applyFont="1" applyFill="1" applyBorder="1" applyAlignment="1">
      <alignment horizontal="center" vertical="center"/>
    </xf>
    <xf numFmtId="0" fontId="7" fillId="2" borderId="73" xfId="0" applyFont="1" applyFill="1" applyBorder="1" applyAlignment="1">
      <alignment horizontal="center" vertical="center" wrapText="1"/>
    </xf>
    <xf numFmtId="0" fontId="7" fillId="2" borderId="24" xfId="0" applyFont="1" applyFill="1" applyBorder="1" applyAlignment="1">
      <alignment horizontal="center" vertical="center" wrapText="1"/>
    </xf>
    <xf numFmtId="165" fontId="3" fillId="8" borderId="0" xfId="2" applyNumberFormat="1" applyFont="1" applyFill="1" applyBorder="1" applyAlignment="1">
      <alignment horizontal="center" vertical="center"/>
    </xf>
    <xf numFmtId="0" fontId="3" fillId="9" borderId="45" xfId="0" applyFont="1" applyFill="1" applyBorder="1" applyAlignment="1">
      <alignment vertical="center"/>
    </xf>
    <xf numFmtId="9" fontId="0" fillId="0" borderId="18" xfId="3" applyFont="1" applyBorder="1" applyAlignment="1">
      <alignment horizontal="right" vertical="center"/>
    </xf>
    <xf numFmtId="9" fontId="0" fillId="9" borderId="18" xfId="3" applyFont="1" applyFill="1" applyBorder="1" applyAlignment="1">
      <alignment horizontal="right" vertical="center"/>
    </xf>
    <xf numFmtId="166" fontId="0" fillId="0" borderId="18" xfId="3" applyNumberFormat="1" applyFont="1" applyBorder="1" applyAlignment="1">
      <alignment horizontal="right"/>
    </xf>
    <xf numFmtId="166" fontId="0" fillId="0" borderId="18" xfId="3" applyNumberFormat="1" applyFont="1" applyFill="1" applyBorder="1" applyAlignment="1">
      <alignment horizontal="right"/>
    </xf>
    <xf numFmtId="166" fontId="0" fillId="23" borderId="18" xfId="3" applyNumberFormat="1" applyFont="1" applyFill="1" applyBorder="1" applyAlignment="1">
      <alignment horizontal="center"/>
    </xf>
    <xf numFmtId="166" fontId="0" fillId="5" borderId="18" xfId="3" applyNumberFormat="1" applyFont="1" applyFill="1" applyBorder="1"/>
    <xf numFmtId="166" fontId="1" fillId="9" borderId="18" xfId="3" applyNumberFormat="1" applyFont="1" applyFill="1" applyBorder="1"/>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166" fontId="14" fillId="0" borderId="61" xfId="3" applyNumberFormat="1" applyFont="1" applyFill="1" applyBorder="1" applyAlignment="1">
      <alignment horizontal="center"/>
    </xf>
    <xf numFmtId="166" fontId="3" fillId="8" borderId="39" xfId="3" applyNumberFormat="1" applyFont="1" applyFill="1" applyBorder="1" applyAlignment="1">
      <alignment horizontal="center" vertical="center"/>
    </xf>
    <xf numFmtId="172" fontId="3" fillId="8" borderId="39" xfId="1" applyNumberFormat="1" applyFont="1" applyFill="1" applyBorder="1" applyAlignment="1">
      <alignment horizontal="right" vertical="center"/>
    </xf>
    <xf numFmtId="164" fontId="8" fillId="8" borderId="39" xfId="1" applyNumberFormat="1" applyFont="1" applyFill="1" applyBorder="1" applyAlignment="1">
      <alignment horizontal="center" vertical="center"/>
    </xf>
    <xf numFmtId="164" fontId="8" fillId="8" borderId="40" xfId="1" applyNumberFormat="1" applyFont="1" applyFill="1" applyBorder="1" applyAlignment="1">
      <alignment horizontal="center" vertical="center"/>
    </xf>
    <xf numFmtId="164" fontId="14" fillId="0" borderId="70" xfId="1" applyNumberFormat="1" applyFont="1" applyFill="1" applyBorder="1" applyAlignment="1">
      <alignment horizontal="center"/>
    </xf>
    <xf numFmtId="166" fontId="14" fillId="0" borderId="43" xfId="3" applyNumberFormat="1" applyFont="1" applyFill="1" applyBorder="1" applyAlignment="1">
      <alignment horizontal="center"/>
    </xf>
    <xf numFmtId="164" fontId="3" fillId="3" borderId="63" xfId="1" applyNumberFormat="1" applyFont="1" applyFill="1" applyBorder="1" applyAlignment="1">
      <alignment horizontal="center"/>
    </xf>
    <xf numFmtId="0" fontId="3" fillId="3" borderId="21" xfId="1" applyNumberFormat="1" applyFont="1" applyFill="1" applyBorder="1" applyAlignment="1">
      <alignment horizontal="center"/>
    </xf>
    <xf numFmtId="0" fontId="3" fillId="3" borderId="22" xfId="1" applyNumberFormat="1" applyFont="1" applyFill="1" applyBorder="1" applyAlignment="1">
      <alignment horizontal="center"/>
    </xf>
    <xf numFmtId="0" fontId="3" fillId="3" borderId="64" xfId="1" applyNumberFormat="1" applyFont="1" applyFill="1" applyBorder="1" applyAlignment="1">
      <alignment horizontal="center"/>
    </xf>
    <xf numFmtId="167" fontId="3" fillId="3" borderId="21" xfId="1" applyNumberFormat="1" applyFont="1" applyFill="1" applyBorder="1" applyAlignment="1">
      <alignment horizontal="center"/>
    </xf>
    <xf numFmtId="164" fontId="0" fillId="31" borderId="18" xfId="1" applyNumberFormat="1" applyFont="1" applyFill="1" applyBorder="1"/>
    <xf numFmtId="164" fontId="1" fillId="0" borderId="18" xfId="1" applyNumberFormat="1" applyFont="1" applyFill="1" applyBorder="1"/>
    <xf numFmtId="10" fontId="14" fillId="0" borderId="32" xfId="0" applyNumberFormat="1" applyFont="1" applyBorder="1"/>
    <xf numFmtId="0" fontId="11" fillId="0" borderId="2" xfId="0" applyFont="1" applyBorder="1" applyAlignment="1">
      <alignment horizontal="left" vertical="center" wrapText="1"/>
    </xf>
    <xf numFmtId="164" fontId="0" fillId="0" borderId="18" xfId="0" applyNumberFormat="1" applyBorder="1" applyAlignment="1">
      <alignment horizontal="right"/>
    </xf>
    <xf numFmtId="167" fontId="8" fillId="8" borderId="40" xfId="1" applyNumberFormat="1" applyFont="1" applyFill="1" applyBorder="1" applyAlignment="1">
      <alignment horizontal="center" vertical="center"/>
    </xf>
    <xf numFmtId="167" fontId="3" fillId="3" borderId="40" xfId="1" applyNumberFormat="1" applyFont="1" applyFill="1" applyBorder="1" applyAlignment="1">
      <alignment horizontal="center"/>
    </xf>
    <xf numFmtId="167" fontId="0" fillId="2" borderId="9" xfId="1" applyNumberFormat="1" applyFont="1" applyFill="1" applyBorder="1" applyAlignment="1">
      <alignment horizontal="center" vertical="center" wrapText="1"/>
    </xf>
    <xf numFmtId="167" fontId="3" fillId="3" borderId="68" xfId="1" applyNumberFormat="1" applyFont="1" applyFill="1" applyBorder="1" applyAlignment="1">
      <alignment horizontal="center"/>
    </xf>
    <xf numFmtId="167" fontId="0" fillId="2" borderId="1" xfId="1" applyNumberFormat="1" applyFont="1" applyFill="1" applyBorder="1" applyAlignment="1">
      <alignment horizontal="center" vertical="center" wrapText="1"/>
    </xf>
    <xf numFmtId="167" fontId="8" fillId="8" borderId="77" xfId="1" applyNumberFormat="1" applyFont="1" applyFill="1" applyBorder="1" applyAlignment="1">
      <alignment horizontal="center"/>
    </xf>
    <xf numFmtId="167" fontId="3" fillId="3" borderId="3" xfId="1" applyNumberFormat="1" applyFont="1" applyFill="1" applyBorder="1" applyAlignment="1">
      <alignment horizontal="center"/>
    </xf>
    <xf numFmtId="167" fontId="0" fillId="0" borderId="9" xfId="1" applyNumberFormat="1" applyFont="1" applyFill="1" applyBorder="1" applyAlignment="1">
      <alignment horizontal="center"/>
    </xf>
    <xf numFmtId="167" fontId="3" fillId="3" borderId="77" xfId="1" applyNumberFormat="1" applyFont="1" applyFill="1" applyBorder="1" applyAlignment="1">
      <alignment horizontal="center"/>
    </xf>
    <xf numFmtId="167" fontId="0" fillId="2" borderId="69" xfId="1" applyNumberFormat="1" applyFont="1" applyFill="1" applyBorder="1" applyAlignment="1">
      <alignment horizontal="center" vertical="center" wrapText="1"/>
    </xf>
    <xf numFmtId="167" fontId="3" fillId="6" borderId="59" xfId="1" applyNumberFormat="1" applyFont="1" applyFill="1" applyBorder="1" applyAlignment="1">
      <alignment horizontal="center"/>
    </xf>
    <xf numFmtId="164" fontId="14" fillId="0" borderId="6" xfId="1" applyNumberFormat="1" applyFont="1" applyFill="1" applyBorder="1" applyAlignment="1">
      <alignment horizontal="center"/>
    </xf>
    <xf numFmtId="167" fontId="14" fillId="0" borderId="5" xfId="1" applyNumberFormat="1" applyFont="1" applyFill="1" applyBorder="1" applyAlignment="1">
      <alignment horizontal="center"/>
    </xf>
    <xf numFmtId="164" fontId="14" fillId="0" borderId="23" xfId="1" applyNumberFormat="1" applyFont="1" applyFill="1" applyBorder="1" applyAlignment="1">
      <alignment horizontal="center"/>
    </xf>
    <xf numFmtId="167" fontId="14" fillId="0" borderId="52" xfId="1" applyNumberFormat="1" applyFont="1" applyFill="1" applyBorder="1" applyAlignment="1">
      <alignment horizontal="center"/>
    </xf>
    <xf numFmtId="164" fontId="14" fillId="0" borderId="36" xfId="1" applyNumberFormat="1" applyFont="1" applyFill="1" applyBorder="1" applyAlignment="1">
      <alignment horizontal="center"/>
    </xf>
    <xf numFmtId="167" fontId="14" fillId="0" borderId="48" xfId="1" applyNumberFormat="1" applyFont="1" applyFill="1" applyBorder="1" applyAlignment="1">
      <alignment horizontal="center"/>
    </xf>
    <xf numFmtId="167" fontId="0" fillId="0" borderId="9" xfId="1" applyNumberFormat="1" applyFont="1" applyFill="1" applyBorder="1" applyAlignment="1">
      <alignment horizontal="center" vertical="center"/>
    </xf>
    <xf numFmtId="167" fontId="0" fillId="0" borderId="28" xfId="1" applyNumberFormat="1" applyFont="1" applyFill="1" applyBorder="1" applyAlignment="1">
      <alignment horizontal="center" vertical="center"/>
    </xf>
    <xf numFmtId="167" fontId="0" fillId="0" borderId="68" xfId="1" applyNumberFormat="1" applyFont="1" applyFill="1" applyBorder="1" applyAlignment="1">
      <alignment horizontal="center" vertical="center"/>
    </xf>
    <xf numFmtId="167" fontId="14" fillId="0" borderId="3" xfId="1" applyNumberFormat="1" applyFont="1" applyFill="1" applyBorder="1" applyAlignment="1">
      <alignment horizontal="center"/>
    </xf>
    <xf numFmtId="164" fontId="17" fillId="0" borderId="24" xfId="1" applyNumberFormat="1" applyFont="1" applyFill="1" applyBorder="1" applyAlignment="1">
      <alignment horizontal="center"/>
    </xf>
    <xf numFmtId="167" fontId="17" fillId="0" borderId="69" xfId="1" applyNumberFormat="1" applyFont="1" applyFill="1" applyBorder="1" applyAlignment="1">
      <alignment horizontal="center"/>
    </xf>
    <xf numFmtId="167" fontId="14" fillId="0" borderId="28" xfId="1" applyNumberFormat="1" applyFont="1" applyFill="1" applyBorder="1" applyAlignment="1">
      <alignment horizontal="center"/>
    </xf>
    <xf numFmtId="167" fontId="14" fillId="0" borderId="77" xfId="1" applyNumberFormat="1" applyFont="1" applyFill="1" applyBorder="1" applyAlignment="1">
      <alignment horizontal="center"/>
    </xf>
    <xf numFmtId="167" fontId="0" fillId="0" borderId="28" xfId="1" applyNumberFormat="1" applyFont="1" applyFill="1" applyBorder="1" applyAlignment="1">
      <alignment horizontal="center"/>
    </xf>
    <xf numFmtId="0" fontId="1" fillId="0" borderId="64" xfId="0" applyFont="1" applyBorder="1" applyAlignment="1">
      <alignment horizontal="center" vertical="center"/>
    </xf>
    <xf numFmtId="164" fontId="3" fillId="3" borderId="38" xfId="1" applyNumberFormat="1" applyFont="1" applyFill="1" applyBorder="1" applyAlignment="1">
      <alignment horizontal="center"/>
    </xf>
    <xf numFmtId="0" fontId="1" fillId="2" borderId="33" xfId="0" applyFont="1" applyFill="1" applyBorder="1" applyAlignment="1">
      <alignment vertical="center" wrapText="1"/>
    </xf>
    <xf numFmtId="0" fontId="1" fillId="2" borderId="60" xfId="0" applyFont="1" applyFill="1" applyBorder="1" applyAlignment="1">
      <alignment vertical="center" wrapText="1"/>
    </xf>
    <xf numFmtId="165" fontId="1" fillId="2" borderId="33" xfId="2" applyNumberFormat="1" applyFont="1" applyFill="1" applyBorder="1" applyAlignment="1">
      <alignment vertical="center" wrapText="1"/>
    </xf>
    <xf numFmtId="165" fontId="1" fillId="2" borderId="60" xfId="2" applyNumberFormat="1" applyFont="1" applyFill="1" applyBorder="1" applyAlignment="1">
      <alignment vertical="center" wrapText="1"/>
    </xf>
    <xf numFmtId="164" fontId="1" fillId="2" borderId="33" xfId="1" applyNumberFormat="1" applyFont="1" applyFill="1" applyBorder="1" applyAlignment="1">
      <alignment vertical="center" wrapText="1"/>
    </xf>
    <xf numFmtId="164" fontId="1" fillId="2" borderId="65" xfId="1" applyNumberFormat="1" applyFont="1" applyFill="1" applyBorder="1" applyAlignment="1">
      <alignment vertical="center" wrapText="1"/>
    </xf>
    <xf numFmtId="164" fontId="1" fillId="2" borderId="60" xfId="1" applyNumberFormat="1" applyFont="1" applyFill="1" applyBorder="1" applyAlignment="1">
      <alignment vertical="center" wrapText="1"/>
    </xf>
    <xf numFmtId="164" fontId="1" fillId="0" borderId="6" xfId="1" applyNumberFormat="1" applyFont="1" applyBorder="1" applyAlignment="1">
      <alignment horizontal="center" vertical="center"/>
    </xf>
    <xf numFmtId="164" fontId="1" fillId="0" borderId="34" xfId="1" applyNumberFormat="1" applyFont="1" applyBorder="1" applyAlignment="1">
      <alignment horizontal="center" vertical="center"/>
    </xf>
    <xf numFmtId="165" fontId="1" fillId="0" borderId="6" xfId="2" applyNumberFormat="1" applyFont="1" applyBorder="1" applyAlignment="1">
      <alignment horizontal="center" vertical="center"/>
    </xf>
    <xf numFmtId="165" fontId="1" fillId="0" borderId="7" xfId="2" applyNumberFormat="1" applyFont="1" applyBorder="1" applyAlignment="1">
      <alignment horizontal="center" vertical="center"/>
    </xf>
    <xf numFmtId="164" fontId="1" fillId="0" borderId="7" xfId="1" applyNumberFormat="1" applyFont="1" applyBorder="1" applyAlignment="1">
      <alignment horizontal="center" vertical="center"/>
    </xf>
    <xf numFmtId="164" fontId="1" fillId="0" borderId="20" xfId="1" applyNumberFormat="1" applyFont="1" applyFill="1" applyBorder="1" applyAlignment="1">
      <alignment horizontal="center" vertical="center"/>
    </xf>
    <xf numFmtId="164" fontId="1" fillId="0" borderId="19" xfId="1" applyNumberFormat="1" applyFont="1" applyFill="1" applyBorder="1" applyAlignment="1">
      <alignment horizontal="center" vertical="center"/>
    </xf>
    <xf numFmtId="164" fontId="1" fillId="0" borderId="29" xfId="1" applyNumberFormat="1" applyFont="1" applyBorder="1" applyAlignment="1">
      <alignment horizontal="center" vertical="center"/>
    </xf>
    <xf numFmtId="164" fontId="1" fillId="0" borderId="92" xfId="1" applyNumberFormat="1" applyFont="1" applyBorder="1" applyAlignment="1">
      <alignment horizontal="center" vertical="center"/>
    </xf>
    <xf numFmtId="165" fontId="1" fillId="0" borderId="29" xfId="2" applyNumberFormat="1" applyFont="1" applyBorder="1" applyAlignment="1">
      <alignment horizontal="center" vertical="center"/>
    </xf>
    <xf numFmtId="165" fontId="1" fillId="0" borderId="31" xfId="2" applyNumberFormat="1" applyFont="1" applyBorder="1" applyAlignment="1">
      <alignment horizontal="center" vertical="center"/>
    </xf>
    <xf numFmtId="164" fontId="1" fillId="0" borderId="31" xfId="1" applyNumberFormat="1" applyFont="1" applyBorder="1" applyAlignment="1">
      <alignment horizontal="center" vertical="center"/>
    </xf>
    <xf numFmtId="164" fontId="1" fillId="0" borderId="29" xfId="1" applyNumberFormat="1" applyFont="1" applyFill="1" applyBorder="1" applyAlignment="1">
      <alignment horizontal="center" vertical="center"/>
    </xf>
    <xf numFmtId="164" fontId="1" fillId="0" borderId="31" xfId="1" applyNumberFormat="1" applyFont="1" applyFill="1" applyBorder="1" applyAlignment="1">
      <alignment horizontal="center" vertical="center"/>
    </xf>
    <xf numFmtId="164" fontId="3" fillId="3" borderId="21" xfId="1" applyNumberFormat="1" applyFont="1" applyFill="1" applyBorder="1"/>
    <xf numFmtId="0" fontId="1" fillId="0" borderId="21" xfId="0" applyFont="1" applyBorder="1" applyAlignment="1">
      <alignment horizontal="center"/>
    </xf>
    <xf numFmtId="0" fontId="1" fillId="0" borderId="64" xfId="0" applyFont="1" applyBorder="1" applyAlignment="1">
      <alignment horizontal="center"/>
    </xf>
    <xf numFmtId="165" fontId="1" fillId="0" borderId="21" xfId="2" applyNumberFormat="1" applyFont="1" applyBorder="1" applyAlignment="1">
      <alignment horizontal="center"/>
    </xf>
    <xf numFmtId="165" fontId="1" fillId="0" borderId="64" xfId="2" applyNumberFormat="1" applyFont="1" applyBorder="1" applyAlignment="1">
      <alignment horizontal="center"/>
    </xf>
    <xf numFmtId="164" fontId="1" fillId="0" borderId="64" xfId="1" applyNumberFormat="1" applyFont="1" applyFill="1" applyBorder="1" applyAlignment="1">
      <alignment horizontal="center"/>
    </xf>
    <xf numFmtId="164" fontId="1" fillId="0" borderId="21" xfId="1" applyNumberFormat="1" applyFont="1" applyBorder="1" applyAlignment="1">
      <alignment horizontal="center"/>
    </xf>
    <xf numFmtId="164" fontId="1" fillId="0" borderId="38" xfId="1" applyNumberFormat="1" applyFont="1" applyFill="1" applyBorder="1" applyAlignment="1">
      <alignment horizontal="center"/>
    </xf>
    <xf numFmtId="164" fontId="3" fillId="6" borderId="36" xfId="1" applyNumberFormat="1" applyFont="1" applyFill="1" applyBorder="1" applyAlignment="1"/>
    <xf numFmtId="164" fontId="3" fillId="6" borderId="44" xfId="1" applyNumberFormat="1" applyFont="1" applyFill="1" applyBorder="1" applyAlignment="1"/>
    <xf numFmtId="164" fontId="3" fillId="6" borderId="40" xfId="1" applyNumberFormat="1" applyFont="1" applyFill="1" applyBorder="1" applyAlignment="1"/>
    <xf numFmtId="165" fontId="0" fillId="0" borderId="21" xfId="2" applyNumberFormat="1" applyFont="1" applyFill="1" applyBorder="1" applyAlignment="1">
      <alignment horizontal="center" vertical="center" wrapText="1"/>
    </xf>
    <xf numFmtId="9" fontId="0" fillId="20" borderId="38" xfId="3"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34" xfId="0" applyBorder="1" applyAlignment="1">
      <alignment wrapText="1"/>
    </xf>
    <xf numFmtId="0" fontId="0" fillId="20" borderId="22" xfId="0" applyFill="1" applyBorder="1" applyAlignment="1">
      <alignment wrapText="1"/>
    </xf>
    <xf numFmtId="0" fontId="3" fillId="12" borderId="0" xfId="0" applyFont="1" applyFill="1"/>
    <xf numFmtId="0" fontId="0" fillId="12" borderId="0" xfId="0" applyFill="1"/>
    <xf numFmtId="0" fontId="0" fillId="12" borderId="55" xfId="0" applyFill="1" applyBorder="1"/>
    <xf numFmtId="0" fontId="0" fillId="12" borderId="76" xfId="0" applyFill="1" applyBorder="1"/>
    <xf numFmtId="165" fontId="7" fillId="12" borderId="55" xfId="2" applyNumberFormat="1" applyFont="1" applyFill="1" applyBorder="1"/>
    <xf numFmtId="165" fontId="7" fillId="12" borderId="0" xfId="2" applyNumberFormat="1" applyFont="1" applyFill="1"/>
    <xf numFmtId="165" fontId="0" fillId="12" borderId="0" xfId="2" applyNumberFormat="1" applyFont="1" applyFill="1"/>
    <xf numFmtId="165" fontId="0" fillId="12" borderId="76" xfId="2" applyNumberFormat="1" applyFont="1" applyFill="1" applyBorder="1"/>
    <xf numFmtId="165" fontId="0" fillId="12" borderId="55" xfId="2" applyNumberFormat="1" applyFont="1" applyFill="1" applyBorder="1"/>
    <xf numFmtId="164" fontId="0" fillId="0" borderId="0" xfId="1" applyNumberFormat="1" applyFont="1" applyFill="1"/>
    <xf numFmtId="37" fontId="14" fillId="0" borderId="78" xfId="0" applyNumberFormat="1" applyFont="1" applyBorder="1" applyAlignment="1">
      <alignment vertical="center"/>
    </xf>
    <xf numFmtId="167" fontId="14" fillId="0" borderId="3" xfId="0" applyNumberFormat="1" applyFont="1" applyBorder="1" applyAlignment="1">
      <alignment vertical="center"/>
    </xf>
    <xf numFmtId="3" fontId="17" fillId="0" borderId="23" xfId="0" applyNumberFormat="1" applyFont="1" applyBorder="1"/>
    <xf numFmtId="3" fontId="17" fillId="0" borderId="7" xfId="0" applyNumberFormat="1" applyFont="1" applyBorder="1"/>
    <xf numFmtId="164" fontId="1" fillId="0" borderId="10"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67" fontId="11" fillId="0" borderId="56" xfId="1" applyNumberFormat="1" applyFont="1" applyFill="1" applyBorder="1" applyAlignment="1">
      <alignment wrapText="1"/>
    </xf>
    <xf numFmtId="167" fontId="11" fillId="0" borderId="19" xfId="1" applyNumberFormat="1" applyFont="1" applyFill="1" applyBorder="1" applyAlignment="1">
      <alignment wrapText="1"/>
    </xf>
    <xf numFmtId="167" fontId="11" fillId="0" borderId="20" xfId="1" applyNumberFormat="1" applyFont="1" applyFill="1" applyBorder="1" applyAlignment="1">
      <alignment wrapText="1"/>
    </xf>
    <xf numFmtId="167" fontId="11" fillId="0" borderId="30" xfId="1" applyNumberFormat="1" applyFont="1" applyFill="1" applyBorder="1" applyAlignment="1">
      <alignment wrapText="1"/>
    </xf>
    <xf numFmtId="43" fontId="11" fillId="0" borderId="28" xfId="1" applyFont="1" applyFill="1" applyBorder="1" applyAlignment="1">
      <alignment wrapText="1"/>
    </xf>
    <xf numFmtId="165" fontId="0" fillId="2" borderId="57" xfId="0" applyNumberFormat="1" applyFill="1" applyBorder="1" applyAlignment="1">
      <alignment vertical="center" wrapText="1"/>
    </xf>
    <xf numFmtId="165" fontId="0" fillId="2" borderId="7" xfId="0" applyNumberFormat="1" applyFill="1" applyBorder="1" applyAlignment="1">
      <alignment vertical="center" wrapText="1"/>
    </xf>
    <xf numFmtId="174" fontId="0" fillId="0" borderId="0" xfId="0" applyNumberFormat="1"/>
    <xf numFmtId="0" fontId="0" fillId="0" borderId="41" xfId="0" applyBorder="1" applyAlignment="1">
      <alignment horizontal="left" vertical="center" wrapText="1"/>
    </xf>
    <xf numFmtId="164" fontId="3" fillId="3" borderId="53" xfId="0" applyNumberFormat="1" applyFont="1" applyFill="1" applyBorder="1" applyAlignment="1">
      <alignment horizontal="center" vertical="center"/>
    </xf>
    <xf numFmtId="164" fontId="3" fillId="3" borderId="44" xfId="0" applyNumberFormat="1" applyFont="1" applyFill="1" applyBorder="1" applyAlignment="1">
      <alignment horizontal="center" vertical="center"/>
    </xf>
    <xf numFmtId="165" fontId="3" fillId="3" borderId="53"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xf>
    <xf numFmtId="164" fontId="3" fillId="3" borderId="36" xfId="0" applyNumberFormat="1" applyFont="1" applyFill="1" applyBorder="1" applyAlignment="1">
      <alignment horizontal="center" vertical="center"/>
    </xf>
    <xf numFmtId="164" fontId="3" fillId="3" borderId="135" xfId="1" applyNumberFormat="1" applyFont="1" applyFill="1" applyBorder="1" applyAlignment="1">
      <alignment horizontal="center" vertical="center"/>
    </xf>
    <xf numFmtId="10" fontId="29" fillId="5" borderId="0" xfId="1" applyNumberFormat="1" applyFont="1" applyFill="1" applyBorder="1" applyAlignment="1">
      <alignment horizontal="right"/>
    </xf>
    <xf numFmtId="9" fontId="3" fillId="0" borderId="0" xfId="1" applyNumberFormat="1" applyFont="1"/>
    <xf numFmtId="9" fontId="0" fillId="0" borderId="0" xfId="3" applyFont="1"/>
    <xf numFmtId="0" fontId="8" fillId="0" borderId="0" xfId="0" applyFont="1"/>
    <xf numFmtId="0" fontId="3" fillId="15" borderId="18" xfId="0" applyFont="1" applyFill="1" applyBorder="1" applyAlignment="1" applyProtection="1">
      <alignment horizontal="center" vertical="center"/>
      <protection hidden="1"/>
    </xf>
    <xf numFmtId="0" fontId="3" fillId="15" borderId="18" xfId="10" applyFont="1" applyFill="1" applyBorder="1" applyAlignment="1">
      <alignment horizontal="center" vertical="center"/>
    </xf>
    <xf numFmtId="0" fontId="8" fillId="15" borderId="18" xfId="9" applyFont="1" applyFill="1" applyBorder="1" applyAlignment="1">
      <alignment horizontal="center" vertical="center" wrapText="1"/>
    </xf>
    <xf numFmtId="0" fontId="8" fillId="0" borderId="18" xfId="0" applyFont="1" applyBorder="1"/>
    <xf numFmtId="3" fontId="0" fillId="0" borderId="18" xfId="0" applyNumberFormat="1" applyBorder="1"/>
    <xf numFmtId="172" fontId="0" fillId="0" borderId="18" xfId="0" applyNumberFormat="1" applyBorder="1"/>
    <xf numFmtId="10" fontId="0" fillId="0" borderId="0" xfId="1" applyNumberFormat="1" applyFont="1" applyFill="1" applyBorder="1"/>
    <xf numFmtId="165" fontId="0" fillId="0" borderId="3" xfId="0" applyNumberFormat="1" applyBorder="1" applyAlignment="1">
      <alignment wrapText="1"/>
    </xf>
    <xf numFmtId="165" fontId="0" fillId="0" borderId="18" xfId="2" applyNumberFormat="1" applyFont="1" applyFill="1" applyBorder="1"/>
    <xf numFmtId="0" fontId="61" fillId="33" borderId="36" xfId="0" applyFont="1" applyFill="1" applyBorder="1"/>
    <xf numFmtId="3" fontId="60" fillId="0" borderId="21" xfId="0" applyNumberFormat="1" applyFont="1" applyBorder="1"/>
    <xf numFmtId="3" fontId="60" fillId="0" borderId="23" xfId="0" applyNumberFormat="1" applyFont="1" applyBorder="1"/>
    <xf numFmtId="0" fontId="6" fillId="7" borderId="41" xfId="0" quotePrefix="1" applyFont="1" applyFill="1" applyBorder="1" applyAlignment="1">
      <alignment horizontal="center" vertical="center" wrapText="1"/>
    </xf>
    <xf numFmtId="0" fontId="3" fillId="3" borderId="136" xfId="0" applyFont="1" applyFill="1" applyBorder="1" applyAlignment="1">
      <alignment horizontal="center" vertical="center"/>
    </xf>
    <xf numFmtId="0" fontId="3" fillId="3" borderId="137" xfId="0" applyFont="1" applyFill="1" applyBorder="1" applyAlignment="1">
      <alignment horizontal="center" vertical="center" wrapText="1"/>
    </xf>
    <xf numFmtId="166" fontId="11" fillId="0" borderId="19" xfId="3" applyNumberFormat="1" applyFont="1" applyBorder="1" applyAlignment="1">
      <alignment horizontal="center" vertical="center"/>
    </xf>
    <xf numFmtId="3" fontId="29" fillId="0" borderId="0" xfId="0" applyNumberFormat="1" applyFont="1"/>
    <xf numFmtId="164" fontId="0" fillId="0" borderId="32" xfId="1" applyNumberFormat="1" applyFont="1" applyFill="1" applyBorder="1" applyAlignment="1">
      <alignment wrapText="1"/>
    </xf>
    <xf numFmtId="164" fontId="0" fillId="0" borderId="27" xfId="1" applyNumberFormat="1" applyFont="1" applyFill="1" applyBorder="1" applyAlignment="1">
      <alignment wrapText="1"/>
    </xf>
    <xf numFmtId="164" fontId="0" fillId="0" borderId="19" xfId="1" applyNumberFormat="1" applyFont="1" applyFill="1" applyBorder="1" applyAlignment="1">
      <alignment wrapText="1"/>
    </xf>
    <xf numFmtId="170" fontId="11" fillId="0" borderId="20" xfId="0" applyNumberFormat="1" applyFont="1" applyBorder="1" applyAlignment="1">
      <alignment wrapText="1"/>
    </xf>
    <xf numFmtId="167" fontId="11" fillId="0" borderId="32" xfId="1" applyNumberFormat="1" applyFont="1" applyFill="1" applyBorder="1" applyAlignment="1">
      <alignment wrapText="1"/>
    </xf>
    <xf numFmtId="167" fontId="0" fillId="0" borderId="20" xfId="0" applyNumberFormat="1" applyBorder="1" applyAlignment="1">
      <alignment wrapText="1"/>
    </xf>
    <xf numFmtId="167" fontId="0" fillId="0" borderId="32" xfId="1" applyNumberFormat="1" applyFont="1" applyFill="1" applyBorder="1" applyAlignment="1">
      <alignment wrapText="1"/>
    </xf>
    <xf numFmtId="164" fontId="0" fillId="0" borderId="18" xfId="1" applyNumberFormat="1" applyFont="1" applyFill="1" applyBorder="1"/>
    <xf numFmtId="164" fontId="0" fillId="0" borderId="18" xfId="0" applyNumberFormat="1" applyBorder="1" applyAlignment="1">
      <alignment horizontal="right" wrapText="1"/>
    </xf>
    <xf numFmtId="164" fontId="0" fillId="0" borderId="18" xfId="3" applyNumberFormat="1" applyFont="1" applyFill="1" applyBorder="1" applyAlignment="1">
      <alignment horizontal="right" wrapText="1"/>
    </xf>
    <xf numFmtId="3" fontId="14" fillId="0" borderId="18" xfId="0" applyNumberFormat="1" applyFont="1" applyBorder="1"/>
    <xf numFmtId="0" fontId="14" fillId="0" borderId="18" xfId="0" applyFont="1" applyBorder="1"/>
    <xf numFmtId="0" fontId="14" fillId="0" borderId="32" xfId="0" applyFont="1" applyBorder="1"/>
    <xf numFmtId="0" fontId="14" fillId="0" borderId="24" xfId="0" applyFont="1" applyBorder="1"/>
    <xf numFmtId="0" fontId="14" fillId="0" borderId="73" xfId="0" applyFont="1" applyBorder="1"/>
    <xf numFmtId="0" fontId="0" fillId="0" borderId="18" xfId="0" applyBorder="1" applyAlignment="1">
      <alignment horizontal="right"/>
    </xf>
    <xf numFmtId="164" fontId="0" fillId="0" borderId="18" xfId="1" applyNumberFormat="1" applyFont="1" applyFill="1" applyBorder="1" applyAlignment="1">
      <alignment horizontal="right" wrapText="1"/>
    </xf>
    <xf numFmtId="3" fontId="14" fillId="0" borderId="32" xfId="0" applyNumberFormat="1" applyFont="1" applyBorder="1" applyAlignment="1">
      <alignment wrapText="1"/>
    </xf>
    <xf numFmtId="3" fontId="14" fillId="0" borderId="0" xfId="0" applyNumberFormat="1" applyFont="1"/>
    <xf numFmtId="3" fontId="14" fillId="0" borderId="24" xfId="0" applyNumberFormat="1" applyFont="1" applyBorder="1"/>
    <xf numFmtId="3" fontId="14" fillId="0" borderId="32" xfId="0" applyNumberFormat="1" applyFont="1" applyBorder="1"/>
    <xf numFmtId="3" fontId="14" fillId="0" borderId="73" xfId="0" applyNumberFormat="1" applyFont="1" applyBorder="1"/>
    <xf numFmtId="164" fontId="0" fillId="0" borderId="6" xfId="1" applyNumberFormat="1" applyFont="1" applyFill="1" applyBorder="1" applyAlignment="1">
      <alignment horizontal="center" vertical="center"/>
    </xf>
    <xf numFmtId="164" fontId="19" fillId="0" borderId="20" xfId="1" applyNumberFormat="1" applyFont="1" applyFill="1" applyBorder="1" applyAlignment="1">
      <alignment horizontal="center" vertical="center"/>
    </xf>
    <xf numFmtId="164" fontId="11" fillId="0" borderId="29" xfId="1" applyNumberFormat="1" applyFont="1" applyFill="1" applyBorder="1" applyAlignment="1">
      <alignment horizontal="center" vertical="center"/>
    </xf>
    <xf numFmtId="3" fontId="19" fillId="0" borderId="129" xfId="0" applyNumberFormat="1" applyFont="1" applyBorder="1" applyAlignment="1">
      <alignment vertical="center"/>
    </xf>
    <xf numFmtId="3" fontId="19" fillId="0" borderId="130" xfId="0" applyNumberFormat="1" applyFont="1" applyBorder="1" applyAlignment="1">
      <alignment vertical="center"/>
    </xf>
    <xf numFmtId="3" fontId="19" fillId="0" borderId="131" xfId="0" applyNumberFormat="1" applyFont="1" applyBorder="1" applyAlignment="1">
      <alignment vertical="center"/>
    </xf>
    <xf numFmtId="164" fontId="0" fillId="0" borderId="21" xfId="1" applyNumberFormat="1" applyFont="1" applyFill="1" applyBorder="1" applyAlignment="1">
      <alignment horizontal="center" vertical="center"/>
    </xf>
    <xf numFmtId="164" fontId="17" fillId="0" borderId="23" xfId="1" applyNumberFormat="1" applyFont="1" applyFill="1" applyBorder="1" applyAlignment="1">
      <alignment horizontal="center" vertical="center"/>
    </xf>
    <xf numFmtId="164" fontId="17" fillId="0" borderId="24" xfId="1" applyNumberFormat="1" applyFont="1" applyFill="1" applyBorder="1" applyAlignment="1">
      <alignment horizontal="center" vertical="center"/>
    </xf>
    <xf numFmtId="164" fontId="0" fillId="0" borderId="20" xfId="1" applyNumberFormat="1" applyFont="1" applyFill="1" applyBorder="1" applyAlignment="1">
      <alignment horizontal="center" vertical="center"/>
    </xf>
    <xf numFmtId="164" fontId="0" fillId="0" borderId="10" xfId="1" applyNumberFormat="1" applyFont="1" applyFill="1" applyBorder="1" applyAlignment="1">
      <alignment horizontal="center" vertical="center"/>
    </xf>
    <xf numFmtId="164" fontId="0" fillId="0" borderId="42" xfId="1" applyNumberFormat="1" applyFont="1" applyFill="1" applyBorder="1" applyAlignment="1">
      <alignment horizontal="center" vertical="center"/>
    </xf>
    <xf numFmtId="164" fontId="0" fillId="0" borderId="32" xfId="1" applyNumberFormat="1" applyFont="1" applyFill="1" applyBorder="1" applyAlignment="1">
      <alignment horizontal="center" vertical="center"/>
    </xf>
    <xf numFmtId="165" fontId="14" fillId="0" borderId="74" xfId="2" applyNumberFormat="1" applyFont="1" applyFill="1" applyBorder="1" applyAlignment="1">
      <alignment horizontal="center"/>
    </xf>
    <xf numFmtId="165" fontId="14" fillId="0" borderId="49" xfId="0" applyNumberFormat="1" applyFont="1" applyBorder="1" applyAlignment="1">
      <alignment horizontal="center"/>
    </xf>
    <xf numFmtId="165" fontId="14" fillId="0" borderId="75" xfId="0" applyNumberFormat="1" applyFont="1" applyBorder="1" applyAlignment="1">
      <alignment horizontal="center"/>
    </xf>
    <xf numFmtId="170" fontId="14" fillId="0" borderId="42" xfId="1" applyNumberFormat="1" applyFont="1" applyFill="1" applyBorder="1" applyAlignment="1">
      <alignment horizontal="right"/>
    </xf>
    <xf numFmtId="164" fontId="14" fillId="0" borderId="5" xfId="1" applyNumberFormat="1" applyFont="1" applyFill="1" applyBorder="1" applyAlignment="1">
      <alignment horizontal="center"/>
    </xf>
    <xf numFmtId="165" fontId="14" fillId="0" borderId="27" xfId="0" applyNumberFormat="1" applyFont="1" applyBorder="1" applyAlignment="1">
      <alignment horizontal="center"/>
    </xf>
    <xf numFmtId="165" fontId="14" fillId="0" borderId="18" xfId="0" applyNumberFormat="1" applyFont="1" applyBorder="1" applyAlignment="1">
      <alignment horizontal="center"/>
    </xf>
    <xf numFmtId="165" fontId="14" fillId="0" borderId="32" xfId="0" applyNumberFormat="1" applyFont="1" applyBorder="1" applyAlignment="1">
      <alignment horizontal="center"/>
    </xf>
    <xf numFmtId="170" fontId="14" fillId="0" borderId="73" xfId="1" applyNumberFormat="1" applyFont="1" applyFill="1" applyBorder="1" applyAlignment="1">
      <alignment horizontal="right"/>
    </xf>
    <xf numFmtId="164" fontId="14" fillId="0" borderId="52" xfId="1" applyNumberFormat="1" applyFont="1" applyFill="1" applyBorder="1" applyAlignment="1">
      <alignment horizontal="center"/>
    </xf>
    <xf numFmtId="165" fontId="14" fillId="0" borderId="74" xfId="0" applyNumberFormat="1" applyFont="1" applyBorder="1" applyAlignment="1">
      <alignment horizontal="center"/>
    </xf>
    <xf numFmtId="165" fontId="14" fillId="0" borderId="24" xfId="0" applyNumberFormat="1" applyFont="1" applyBorder="1" applyAlignment="1">
      <alignment horizontal="center"/>
    </xf>
    <xf numFmtId="165" fontId="14" fillId="0" borderId="73" xfId="0" applyNumberFormat="1" applyFont="1" applyBorder="1" applyAlignment="1">
      <alignment horizontal="center"/>
    </xf>
    <xf numFmtId="170" fontId="14" fillId="0" borderId="73" xfId="1" applyNumberFormat="1" applyFont="1" applyFill="1" applyBorder="1" applyAlignment="1">
      <alignment horizontal="right" wrapText="1"/>
    </xf>
    <xf numFmtId="165" fontId="14" fillId="0" borderId="0" xfId="0" applyNumberFormat="1" applyFont="1" applyAlignment="1">
      <alignment horizontal="center"/>
    </xf>
    <xf numFmtId="165" fontId="14" fillId="0" borderId="16" xfId="0" applyNumberFormat="1" applyFont="1" applyBorder="1" applyAlignment="1">
      <alignment horizontal="center"/>
    </xf>
    <xf numFmtId="170" fontId="14" fillId="0" borderId="70" xfId="1" applyNumberFormat="1" applyFont="1" applyFill="1" applyBorder="1" applyAlignment="1">
      <alignment horizontal="right"/>
    </xf>
    <xf numFmtId="164" fontId="14" fillId="0" borderId="48" xfId="1" applyNumberFormat="1" applyFont="1" applyFill="1" applyBorder="1" applyAlignment="1">
      <alignment horizontal="center"/>
    </xf>
    <xf numFmtId="165" fontId="0" fillId="0" borderId="41" xfId="2" applyNumberFormat="1" applyFont="1" applyFill="1" applyBorder="1" applyAlignment="1">
      <alignment horizontal="center" vertical="center"/>
    </xf>
    <xf numFmtId="164" fontId="0" fillId="0" borderId="58" xfId="1" applyNumberFormat="1" applyFont="1" applyFill="1" applyBorder="1" applyAlignment="1">
      <alignment horizontal="center" vertical="center"/>
    </xf>
    <xf numFmtId="167" fontId="0" fillId="0" borderId="8" xfId="1" applyNumberFormat="1" applyFont="1" applyFill="1" applyBorder="1" applyAlignment="1">
      <alignment horizontal="right" vertical="center"/>
    </xf>
    <xf numFmtId="164" fontId="0" fillId="0" borderId="9" xfId="1" applyNumberFormat="1" applyFont="1" applyFill="1" applyBorder="1" applyAlignment="1">
      <alignment horizontal="center" vertical="center"/>
    </xf>
    <xf numFmtId="165" fontId="11" fillId="0" borderId="27" xfId="2" applyNumberFormat="1" applyFont="1" applyFill="1" applyBorder="1" applyAlignment="1">
      <alignment horizontal="center" vertical="center"/>
    </xf>
    <xf numFmtId="164" fontId="0" fillId="0" borderId="26" xfId="1" applyNumberFormat="1" applyFont="1" applyFill="1" applyBorder="1" applyAlignment="1">
      <alignment horizontal="center" vertical="center"/>
    </xf>
    <xf numFmtId="167" fontId="0" fillId="0" borderId="18" xfId="1" applyNumberFormat="1" applyFont="1" applyFill="1" applyBorder="1" applyAlignment="1">
      <alignment horizontal="right" vertical="center"/>
    </xf>
    <xf numFmtId="164" fontId="0" fillId="0" borderId="28" xfId="1" applyNumberFormat="1" applyFont="1" applyFill="1" applyBorder="1" applyAlignment="1">
      <alignment horizontal="center" vertical="center"/>
    </xf>
    <xf numFmtId="165" fontId="11" fillId="0" borderId="62" xfId="2" applyNumberFormat="1" applyFont="1" applyFill="1" applyBorder="1" applyAlignment="1">
      <alignment horizontal="center" vertical="center"/>
    </xf>
    <xf numFmtId="164" fontId="0" fillId="0" borderId="62" xfId="1" applyNumberFormat="1" applyFont="1" applyFill="1" applyBorder="1" applyAlignment="1">
      <alignment horizontal="center" vertical="center"/>
    </xf>
    <xf numFmtId="167" fontId="0" fillId="0" borderId="30" xfId="1" applyNumberFormat="1" applyFont="1" applyFill="1" applyBorder="1" applyAlignment="1">
      <alignment horizontal="right" vertical="center"/>
    </xf>
    <xf numFmtId="164" fontId="0" fillId="0" borderId="68" xfId="1" applyNumberFormat="1" applyFont="1" applyFill="1" applyBorder="1" applyAlignment="1">
      <alignment horizontal="center" vertical="center"/>
    </xf>
    <xf numFmtId="165" fontId="19" fillId="0" borderId="132" xfId="2" applyNumberFormat="1" applyFont="1" applyFill="1" applyBorder="1" applyAlignment="1">
      <alignment vertical="center"/>
    </xf>
    <xf numFmtId="165" fontId="0" fillId="0" borderId="4" xfId="2" applyNumberFormat="1" applyFont="1" applyFill="1" applyBorder="1" applyAlignment="1">
      <alignment horizontal="center" vertical="center"/>
    </xf>
    <xf numFmtId="165" fontId="19" fillId="0" borderId="132" xfId="0" applyNumberFormat="1" applyFont="1" applyBorder="1" applyAlignment="1">
      <alignment vertical="center"/>
    </xf>
    <xf numFmtId="37" fontId="14" fillId="0" borderId="133" xfId="0" applyNumberFormat="1" applyFont="1" applyBorder="1" applyAlignment="1">
      <alignment vertical="center"/>
    </xf>
    <xf numFmtId="4" fontId="14" fillId="0" borderId="132" xfId="0" applyNumberFormat="1" applyFont="1" applyBorder="1" applyAlignment="1">
      <alignment vertical="center"/>
    </xf>
    <xf numFmtId="3" fontId="14" fillId="0" borderId="130" xfId="0" applyNumberFormat="1" applyFont="1" applyBorder="1" applyAlignment="1">
      <alignment vertical="center"/>
    </xf>
    <xf numFmtId="164" fontId="0" fillId="0" borderId="132" xfId="1" applyNumberFormat="1" applyFont="1" applyFill="1" applyBorder="1" applyAlignment="1">
      <alignment horizontal="center" vertical="center"/>
    </xf>
    <xf numFmtId="167" fontId="14" fillId="0" borderId="130" xfId="0" applyNumberFormat="1" applyFont="1" applyBorder="1" applyAlignment="1">
      <alignment vertical="center"/>
    </xf>
    <xf numFmtId="37" fontId="14" fillId="0" borderId="130" xfId="0" applyNumberFormat="1" applyFont="1" applyBorder="1" applyAlignment="1">
      <alignment vertical="center"/>
    </xf>
    <xf numFmtId="165" fontId="0" fillId="0" borderId="21" xfId="1" applyNumberFormat="1" applyFont="1" applyFill="1" applyBorder="1" applyAlignment="1">
      <alignment horizontal="center" vertical="center"/>
    </xf>
    <xf numFmtId="164" fontId="14" fillId="0" borderId="22" xfId="1" applyNumberFormat="1" applyFont="1" applyFill="1" applyBorder="1" applyAlignment="1">
      <alignment horizontal="center" vertical="center"/>
    </xf>
    <xf numFmtId="167" fontId="14" fillId="0" borderId="22" xfId="1" applyNumberFormat="1" applyFont="1" applyFill="1" applyBorder="1" applyAlignment="1">
      <alignment horizontal="center"/>
    </xf>
    <xf numFmtId="164" fontId="14" fillId="0" borderId="3" xfId="1" applyNumberFormat="1" applyFont="1" applyFill="1" applyBorder="1" applyAlignment="1">
      <alignment horizontal="center"/>
    </xf>
    <xf numFmtId="165" fontId="0" fillId="0" borderId="23" xfId="1" applyNumberFormat="1" applyFont="1" applyFill="1" applyBorder="1" applyAlignment="1">
      <alignment horizontal="center" vertical="center"/>
    </xf>
    <xf numFmtId="167" fontId="17" fillId="0" borderId="24" xfId="1" applyNumberFormat="1" applyFont="1" applyFill="1" applyBorder="1" applyAlignment="1">
      <alignment horizontal="center"/>
    </xf>
    <xf numFmtId="164" fontId="17" fillId="0" borderId="69" xfId="1" applyNumberFormat="1" applyFont="1" applyFill="1" applyBorder="1" applyAlignment="1">
      <alignment horizontal="center"/>
    </xf>
    <xf numFmtId="165" fontId="0" fillId="0" borderId="20" xfId="1" applyNumberFormat="1" applyFont="1" applyFill="1" applyBorder="1" applyAlignment="1">
      <alignment horizontal="center" vertical="center"/>
    </xf>
    <xf numFmtId="164" fontId="14" fillId="0" borderId="18" xfId="1" applyNumberFormat="1" applyFont="1" applyFill="1" applyBorder="1" applyAlignment="1">
      <alignment horizontal="center" vertical="center"/>
    </xf>
    <xf numFmtId="167" fontId="14" fillId="0" borderId="18" xfId="1" applyNumberFormat="1" applyFont="1" applyFill="1" applyBorder="1" applyAlignment="1">
      <alignment horizontal="center"/>
    </xf>
    <xf numFmtId="164" fontId="14" fillId="0" borderId="28" xfId="1" applyNumberFormat="1" applyFont="1" applyFill="1" applyBorder="1" applyAlignment="1">
      <alignment horizontal="center"/>
    </xf>
    <xf numFmtId="165" fontId="0" fillId="0" borderId="10" xfId="1" applyNumberFormat="1" applyFont="1" applyFill="1" applyBorder="1" applyAlignment="1">
      <alignment horizontal="center" vertical="center"/>
    </xf>
    <xf numFmtId="167" fontId="14" fillId="0" borderId="13" xfId="1" applyNumberFormat="1" applyFont="1" applyFill="1" applyBorder="1" applyAlignment="1">
      <alignment horizontal="center"/>
    </xf>
    <xf numFmtId="164" fontId="14" fillId="0" borderId="77" xfId="1" applyNumberFormat="1" applyFont="1" applyFill="1" applyBorder="1" applyAlignment="1">
      <alignment horizontal="center"/>
    </xf>
    <xf numFmtId="165" fontId="0" fillId="0" borderId="42" xfId="0" applyNumberFormat="1" applyBorder="1" applyAlignment="1">
      <alignment horizontal="center" vertical="center"/>
    </xf>
    <xf numFmtId="165" fontId="0" fillId="0" borderId="8" xfId="0" applyNumberFormat="1" applyBorder="1" applyAlignment="1">
      <alignment horizontal="center" vertical="center"/>
    </xf>
    <xf numFmtId="165" fontId="0" fillId="0" borderId="8" xfId="2" applyNumberFormat="1" applyFont="1" applyFill="1" applyBorder="1" applyAlignment="1">
      <alignment horizontal="center" vertical="center"/>
    </xf>
    <xf numFmtId="165" fontId="0" fillId="0" borderId="32" xfId="0" applyNumberFormat="1" applyBorder="1" applyAlignment="1">
      <alignment horizontal="center" vertical="center"/>
    </xf>
    <xf numFmtId="165" fontId="0" fillId="0" borderId="18" xfId="0" applyNumberFormat="1" applyBorder="1" applyAlignment="1">
      <alignment horizontal="center" vertical="center"/>
    </xf>
    <xf numFmtId="167" fontId="0" fillId="0" borderId="18" xfId="1" applyNumberFormat="1" applyFont="1" applyFill="1" applyBorder="1" applyAlignment="1">
      <alignment horizontal="center"/>
    </xf>
    <xf numFmtId="164" fontId="0" fillId="0" borderId="28" xfId="1" applyNumberFormat="1" applyFont="1" applyFill="1" applyBorder="1" applyAlignment="1">
      <alignment horizontal="center"/>
    </xf>
    <xf numFmtId="165" fontId="3" fillId="0" borderId="22" xfId="1" applyNumberFormat="1" applyFont="1" applyFill="1" applyBorder="1" applyAlignment="1">
      <alignment horizontal="center"/>
    </xf>
    <xf numFmtId="164" fontId="0" fillId="0" borderId="58" xfId="0" applyNumberFormat="1" applyBorder="1" applyAlignment="1">
      <alignment horizontal="center" vertical="center"/>
    </xf>
    <xf numFmtId="164" fontId="0" fillId="0" borderId="65" xfId="0" applyNumberFormat="1" applyBorder="1" applyAlignment="1">
      <alignment horizontal="center" vertical="center"/>
    </xf>
    <xf numFmtId="165" fontId="0" fillId="0" borderId="138" xfId="2" applyNumberFormat="1" applyFont="1" applyFill="1" applyBorder="1" applyAlignment="1">
      <alignment horizontal="center"/>
    </xf>
    <xf numFmtId="3" fontId="0" fillId="0" borderId="54" xfId="0" applyNumberFormat="1" applyBorder="1" applyAlignment="1">
      <alignment horizontal="right" vertical="center"/>
    </xf>
    <xf numFmtId="3" fontId="0" fillId="0" borderId="111" xfId="0" applyNumberFormat="1" applyBorder="1" applyAlignment="1">
      <alignment horizontal="right" vertical="center"/>
    </xf>
    <xf numFmtId="3" fontId="0" fillId="0" borderId="27" xfId="0" applyNumberFormat="1" applyBorder="1" applyAlignment="1">
      <alignment horizontal="right" vertical="center"/>
    </xf>
    <xf numFmtId="164" fontId="0" fillId="0" borderId="35" xfId="0" applyNumberFormat="1" applyBorder="1" applyAlignment="1">
      <alignment horizontal="center" vertical="center"/>
    </xf>
    <xf numFmtId="165" fontId="0" fillId="0" borderId="140" xfId="2" applyNumberFormat="1" applyFont="1" applyFill="1" applyBorder="1" applyAlignment="1">
      <alignment horizontal="center"/>
    </xf>
    <xf numFmtId="164" fontId="0" fillId="0" borderId="113" xfId="0" applyNumberFormat="1" applyBorder="1" applyAlignment="1">
      <alignment horizontal="right" vertical="center"/>
    </xf>
    <xf numFmtId="164" fontId="0" fillId="0" borderId="26" xfId="0" applyNumberFormat="1" applyBorder="1" applyAlignment="1">
      <alignment horizontal="center" vertical="center"/>
    </xf>
    <xf numFmtId="165" fontId="0" fillId="0" borderId="139" xfId="2" applyNumberFormat="1" applyFont="1" applyFill="1" applyBorder="1" applyAlignment="1">
      <alignment horizontal="center"/>
    </xf>
    <xf numFmtId="3" fontId="0" fillId="0" borderId="32" xfId="0" applyNumberFormat="1" applyBorder="1" applyAlignment="1">
      <alignment horizontal="right" vertical="center"/>
    </xf>
    <xf numFmtId="3" fontId="0" fillId="0" borderId="114" xfId="0" applyNumberFormat="1" applyBorder="1" applyAlignment="1">
      <alignment horizontal="right" vertical="center"/>
    </xf>
    <xf numFmtId="165" fontId="0" fillId="0" borderId="55" xfId="2" applyNumberFormat="1" applyFont="1" applyFill="1" applyBorder="1" applyAlignment="1">
      <alignment horizontal="center" vertical="center"/>
    </xf>
    <xf numFmtId="165" fontId="0" fillId="0" borderId="17" xfId="2" applyNumberFormat="1" applyFont="1" applyFill="1" applyBorder="1" applyAlignment="1">
      <alignment horizontal="center" vertical="center"/>
    </xf>
    <xf numFmtId="164" fontId="0" fillId="0" borderId="33" xfId="0" applyNumberFormat="1" applyBorder="1" applyAlignment="1">
      <alignment horizontal="center" vertical="center"/>
    </xf>
    <xf numFmtId="164" fontId="0" fillId="0" borderId="111" xfId="0" applyNumberFormat="1" applyBorder="1" applyAlignment="1">
      <alignment horizontal="center" vertical="center"/>
    </xf>
    <xf numFmtId="165" fontId="0" fillId="0" borderId="26" xfId="2" applyNumberFormat="1" applyFont="1" applyFill="1" applyBorder="1" applyAlignment="1">
      <alignment horizontal="center" vertical="center"/>
    </xf>
    <xf numFmtId="165" fontId="0" fillId="0" borderId="19" xfId="2" applyNumberFormat="1" applyFont="1" applyFill="1" applyBorder="1" applyAlignment="1">
      <alignment horizontal="center" vertical="center"/>
    </xf>
    <xf numFmtId="164" fontId="0" fillId="0" borderId="20" xfId="0" applyNumberFormat="1" applyBorder="1" applyAlignment="1">
      <alignment horizontal="center" vertical="center"/>
    </xf>
    <xf numFmtId="164" fontId="0" fillId="0" borderId="115" xfId="0" applyNumberFormat="1" applyBorder="1" applyAlignment="1">
      <alignment horizontal="center" vertical="center"/>
    </xf>
    <xf numFmtId="164" fontId="0" fillId="0" borderId="62" xfId="0" applyNumberFormat="1" applyBorder="1" applyAlignment="1">
      <alignment horizontal="center" vertical="center"/>
    </xf>
    <xf numFmtId="164" fontId="0" fillId="0" borderId="92" xfId="0" applyNumberFormat="1" applyBorder="1" applyAlignment="1">
      <alignment horizontal="center" vertical="center"/>
    </xf>
    <xf numFmtId="165" fontId="0" fillId="0" borderId="62" xfId="2" applyNumberFormat="1" applyFont="1" applyFill="1" applyBorder="1" applyAlignment="1">
      <alignment horizontal="center" vertical="center"/>
    </xf>
    <xf numFmtId="165" fontId="0" fillId="0" borderId="92" xfId="2" applyNumberFormat="1" applyFont="1" applyFill="1" applyBorder="1" applyAlignment="1">
      <alignment horizontal="center" vertical="center"/>
    </xf>
    <xf numFmtId="164" fontId="0" fillId="0" borderId="29" xfId="0" applyNumberFormat="1" applyBorder="1" applyAlignment="1">
      <alignment horizontal="center" vertical="center"/>
    </xf>
    <xf numFmtId="164" fontId="0" fillId="0" borderId="120" xfId="0" applyNumberFormat="1" applyBorder="1" applyAlignment="1">
      <alignment horizontal="center" vertical="center"/>
    </xf>
    <xf numFmtId="165" fontId="0" fillId="0" borderId="58" xfId="2" applyNumberFormat="1" applyFont="1" applyFill="1" applyBorder="1" applyAlignment="1">
      <alignment horizontal="center" vertical="center"/>
    </xf>
    <xf numFmtId="165" fontId="0" fillId="0" borderId="60" xfId="2" applyNumberFormat="1" applyFont="1" applyFill="1" applyBorder="1" applyAlignment="1">
      <alignment horizontal="center" vertical="center"/>
    </xf>
    <xf numFmtId="164" fontId="0" fillId="0" borderId="111" xfId="1" applyNumberFormat="1" applyFont="1" applyFill="1" applyBorder="1" applyAlignment="1">
      <alignment horizontal="center" vertical="center"/>
    </xf>
    <xf numFmtId="164" fontId="0" fillId="0" borderId="60" xfId="0" applyNumberFormat="1" applyBorder="1" applyAlignment="1">
      <alignment horizontal="center" vertical="center"/>
    </xf>
    <xf numFmtId="165" fontId="0" fillId="0" borderId="33" xfId="0" applyNumberFormat="1" applyBorder="1" applyAlignment="1">
      <alignment horizontal="center" vertical="center"/>
    </xf>
    <xf numFmtId="165" fontId="0" fillId="0" borderId="60" xfId="0" applyNumberFormat="1" applyBorder="1" applyAlignment="1">
      <alignment horizontal="center" vertical="center"/>
    </xf>
    <xf numFmtId="164" fontId="0" fillId="0" borderId="31" xfId="0" applyNumberFormat="1" applyBorder="1" applyAlignment="1">
      <alignment horizontal="center" vertical="center"/>
    </xf>
    <xf numFmtId="165" fontId="0" fillId="0" borderId="29" xfId="0" applyNumberFormat="1" applyBorder="1" applyAlignment="1">
      <alignment horizontal="center" vertical="center"/>
    </xf>
    <xf numFmtId="165" fontId="0" fillId="0" borderId="31" xfId="0" applyNumberFormat="1" applyBorder="1" applyAlignment="1">
      <alignment horizontal="center" vertical="center"/>
    </xf>
    <xf numFmtId="0" fontId="60" fillId="0" borderId="21" xfId="0" applyFont="1" applyBorder="1"/>
    <xf numFmtId="6" fontId="60" fillId="0" borderId="2" xfId="0" applyNumberFormat="1" applyFont="1" applyBorder="1"/>
    <xf numFmtId="42" fontId="1" fillId="0" borderId="50" xfId="0" applyNumberFormat="1" applyFont="1" applyBorder="1" applyAlignment="1">
      <alignment horizontal="center" vertical="center"/>
    </xf>
    <xf numFmtId="0" fontId="17" fillId="0" borderId="21" xfId="0" applyFont="1" applyBorder="1"/>
    <xf numFmtId="0" fontId="60" fillId="0" borderId="23" xfId="0" applyFont="1" applyBorder="1"/>
    <xf numFmtId="164" fontId="1" fillId="0" borderId="7" xfId="1" applyNumberFormat="1" applyFont="1" applyFill="1" applyBorder="1" applyAlignment="1">
      <alignment horizontal="center" vertical="center"/>
    </xf>
    <xf numFmtId="6" fontId="60" fillId="0" borderId="25" xfId="0" applyNumberFormat="1" applyFont="1" applyBorder="1"/>
    <xf numFmtId="6" fontId="60" fillId="0" borderId="7" xfId="0" applyNumberFormat="1" applyFont="1" applyBorder="1"/>
    <xf numFmtId="3" fontId="60" fillId="0" borderId="7" xfId="0" applyNumberFormat="1" applyFont="1" applyBorder="1"/>
    <xf numFmtId="6" fontId="60" fillId="0" borderId="23" xfId="0" applyNumberFormat="1" applyFont="1" applyBorder="1"/>
    <xf numFmtId="0" fontId="17" fillId="0" borderId="23" xfId="0" applyFont="1" applyBorder="1"/>
    <xf numFmtId="0" fontId="60" fillId="0" borderId="25" xfId="0" applyFont="1" applyBorder="1"/>
    <xf numFmtId="3" fontId="60" fillId="0" borderId="25" xfId="0" applyNumberFormat="1" applyFont="1" applyBorder="1"/>
    <xf numFmtId="0" fontId="60" fillId="0" borderId="36" xfId="0" applyFont="1" applyBorder="1"/>
    <xf numFmtId="42" fontId="1" fillId="0" borderId="91" xfId="2" applyNumberFormat="1" applyFont="1" applyFill="1" applyBorder="1" applyAlignment="1">
      <alignment horizontal="center" vertical="center"/>
    </xf>
    <xf numFmtId="42" fontId="1" fillId="0" borderId="31" xfId="2" applyNumberFormat="1" applyFont="1" applyFill="1" applyBorder="1" applyAlignment="1">
      <alignment horizontal="center" vertical="center"/>
    </xf>
    <xf numFmtId="0" fontId="56" fillId="0" borderId="0" xfId="0" applyFont="1"/>
    <xf numFmtId="0" fontId="62" fillId="0" borderId="0" xfId="0" applyFont="1"/>
    <xf numFmtId="0" fontId="64" fillId="0" borderId="0" xfId="0" applyFont="1"/>
    <xf numFmtId="0" fontId="65" fillId="0" borderId="0" xfId="0" applyFont="1"/>
    <xf numFmtId="0" fontId="0" fillId="11" borderId="32" xfId="0" applyFill="1" applyBorder="1" applyAlignment="1" applyProtection="1">
      <alignment horizontal="center" vertical="center"/>
      <protection hidden="1"/>
    </xf>
    <xf numFmtId="0" fontId="0" fillId="11" borderId="27" xfId="0" applyFill="1" applyBorder="1" applyAlignment="1" applyProtection="1">
      <alignment horizontal="center" vertical="center"/>
      <protection hidden="1"/>
    </xf>
    <xf numFmtId="0" fontId="0" fillId="11" borderId="32" xfId="0" applyFill="1" applyBorder="1" applyAlignment="1" applyProtection="1">
      <alignment horizontal="center" vertical="center"/>
      <protection hidden="1"/>
    </xf>
    <xf numFmtId="0" fontId="0" fillId="13" borderId="35" xfId="0" applyFill="1" applyBorder="1" applyAlignment="1" applyProtection="1">
      <alignment horizontal="center" vertical="center"/>
      <protection hidden="1"/>
    </xf>
    <xf numFmtId="0" fontId="0" fillId="13" borderId="27" xfId="0" applyFill="1" applyBorder="1" applyAlignment="1" applyProtection="1">
      <alignment horizontal="center" vertical="center"/>
      <protection hidden="1"/>
    </xf>
    <xf numFmtId="0" fontId="0" fillId="13" borderId="32" xfId="0" applyFill="1" applyBorder="1" applyAlignment="1" applyProtection="1">
      <alignment horizontal="center" vertical="center"/>
      <protection hidden="1"/>
    </xf>
    <xf numFmtId="0" fontId="0" fillId="14" borderId="35" xfId="0" applyFill="1" applyBorder="1" applyAlignment="1" applyProtection="1">
      <alignment horizontal="center" vertical="center" wrapText="1"/>
      <protection hidden="1"/>
    </xf>
    <xf numFmtId="0" fontId="0" fillId="14" borderId="27" xfId="0" applyFill="1" applyBorder="1" applyAlignment="1" applyProtection="1">
      <alignment horizontal="center" vertical="center" wrapText="1"/>
      <protection hidden="1"/>
    </xf>
    <xf numFmtId="0" fontId="0" fillId="14" borderId="32" xfId="0" applyFill="1" applyBorder="1" applyAlignment="1" applyProtection="1">
      <alignment horizontal="center" vertical="center" wrapText="1"/>
      <protection hidden="1"/>
    </xf>
    <xf numFmtId="0" fontId="39" fillId="0" borderId="41" xfId="0" applyFont="1" applyBorder="1" applyAlignment="1">
      <alignment horizontal="left" vertical="top" wrapText="1"/>
    </xf>
    <xf numFmtId="0" fontId="53" fillId="0" borderId="41" xfId="0" applyFont="1" applyBorder="1" applyAlignment="1">
      <alignment horizontal="left" vertical="top" wrapText="1"/>
    </xf>
    <xf numFmtId="0" fontId="0" fillId="0" borderId="41" xfId="0" applyBorder="1" applyAlignment="1">
      <alignment horizontal="left" vertical="top" wrapText="1"/>
    </xf>
    <xf numFmtId="0" fontId="11" fillId="0" borderId="41" xfId="0" applyFont="1" applyBorder="1" applyAlignment="1">
      <alignment horizontal="left" vertical="top" wrapText="1"/>
    </xf>
    <xf numFmtId="0" fontId="0" fillId="11" borderId="58" xfId="0" applyFill="1" applyBorder="1" applyAlignment="1">
      <alignment horizontal="center"/>
    </xf>
    <xf numFmtId="0" fontId="0" fillId="11" borderId="41" xfId="0" applyFill="1" applyBorder="1" applyAlignment="1">
      <alignment horizontal="center"/>
    </xf>
    <xf numFmtId="0" fontId="0" fillId="11" borderId="1" xfId="0" applyFill="1" applyBorder="1" applyAlignment="1">
      <alignment horizontal="center"/>
    </xf>
    <xf numFmtId="0" fontId="38" fillId="0" borderId="41" xfId="0" applyFont="1" applyBorder="1" applyAlignment="1">
      <alignment horizontal="left" vertical="top"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right"/>
    </xf>
    <xf numFmtId="0" fontId="0" fillId="0" borderId="32" xfId="0" applyBorder="1" applyAlignment="1">
      <alignment horizontal="right"/>
    </xf>
    <xf numFmtId="0" fontId="39" fillId="0" borderId="18" xfId="0" applyFont="1" applyBorder="1" applyAlignment="1">
      <alignment horizontal="left" vertical="top" wrapText="1"/>
    </xf>
    <xf numFmtId="0" fontId="0" fillId="0" borderId="18" xfId="0" applyBorder="1" applyAlignment="1">
      <alignment horizontal="left" vertical="top" wrapText="1"/>
    </xf>
    <xf numFmtId="0" fontId="8" fillId="24" borderId="56" xfId="0" applyFont="1" applyFill="1" applyBorder="1" applyAlignment="1">
      <alignment horizontal="left" vertical="center" wrapText="1"/>
    </xf>
    <xf numFmtId="0" fontId="8" fillId="24" borderId="18" xfId="0" applyFont="1" applyFill="1" applyBorder="1" applyAlignment="1">
      <alignment horizontal="left" vertical="center" wrapText="1"/>
    </xf>
    <xf numFmtId="0" fontId="7" fillId="2" borderId="6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32" borderId="18" xfId="9" applyFont="1" applyFill="1" applyBorder="1" applyAlignment="1">
      <alignment horizontal="center" vertical="center"/>
    </xf>
    <xf numFmtId="0" fontId="8" fillId="32" borderId="35" xfId="9" applyFont="1" applyFill="1" applyBorder="1" applyAlignment="1">
      <alignment horizontal="center" vertical="center"/>
    </xf>
    <xf numFmtId="0" fontId="8" fillId="32" borderId="32" xfId="9" applyFont="1" applyFill="1" applyBorder="1" applyAlignment="1">
      <alignment horizontal="center" vertical="center"/>
    </xf>
    <xf numFmtId="0" fontId="62" fillId="0" borderId="41" xfId="0" applyFont="1" applyBorder="1" applyAlignment="1">
      <alignment horizontal="left" vertical="top" wrapText="1"/>
    </xf>
    <xf numFmtId="165" fontId="0" fillId="30" borderId="27" xfId="2" applyNumberFormat="1" applyFont="1" applyFill="1" applyBorder="1" applyAlignment="1">
      <alignment horizontal="center"/>
    </xf>
    <xf numFmtId="165" fontId="0" fillId="30" borderId="32" xfId="2" applyNumberFormat="1" applyFont="1" applyFill="1" applyBorder="1" applyAlignment="1">
      <alignment horizont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14" xfId="0"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left" vertical="center" wrapText="1"/>
    </xf>
    <xf numFmtId="0" fontId="45" fillId="0" borderId="102" xfId="0" applyFont="1" applyBorder="1" applyAlignment="1">
      <alignment horizontal="left" vertical="top" wrapText="1"/>
    </xf>
    <xf numFmtId="0" fontId="0" fillId="5" borderId="109" xfId="0" applyFill="1" applyBorder="1" applyAlignment="1">
      <alignment horizontal="left" vertical="center"/>
    </xf>
    <xf numFmtId="0" fontId="0" fillId="5" borderId="112" xfId="0" applyFill="1" applyBorder="1" applyAlignment="1">
      <alignment horizontal="left" vertical="center"/>
    </xf>
    <xf numFmtId="164" fontId="7" fillId="2" borderId="43" xfId="1" applyNumberFormat="1" applyFont="1" applyFill="1" applyBorder="1" applyAlignment="1">
      <alignment horizontal="center" vertical="center" wrapText="1"/>
    </xf>
    <xf numFmtId="164" fontId="7" fillId="7" borderId="55" xfId="1" applyNumberFormat="1" applyFont="1" applyFill="1" applyBorder="1" applyAlignment="1">
      <alignment horizontal="center" vertical="center" wrapText="1"/>
    </xf>
    <xf numFmtId="164" fontId="7" fillId="7" borderId="76"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8" xfId="0" applyFont="1" applyFill="1" applyBorder="1" applyAlignment="1">
      <alignment horizontal="center" vertical="center" wrapText="1"/>
    </xf>
    <xf numFmtId="0" fontId="6" fillId="2" borderId="102" xfId="0" applyFont="1" applyFill="1" applyBorder="1" applyAlignment="1">
      <alignment horizontal="center" vertical="center" wrapText="1"/>
    </xf>
    <xf numFmtId="0" fontId="6" fillId="7" borderId="103" xfId="0" applyFont="1" applyFill="1" applyBorder="1" applyAlignment="1">
      <alignment horizontal="center" vertical="center" wrapText="1"/>
    </xf>
    <xf numFmtId="0" fontId="6" fillId="7" borderId="101" xfId="0" applyFont="1" applyFill="1" applyBorder="1" applyAlignment="1">
      <alignment horizontal="center" vertical="center" wrapText="1"/>
    </xf>
    <xf numFmtId="0" fontId="6" fillId="2" borderId="103" xfId="0" applyFont="1" applyFill="1" applyBorder="1" applyAlignment="1">
      <alignment horizontal="center" vertical="center"/>
    </xf>
    <xf numFmtId="0" fontId="6" fillId="2" borderId="104" xfId="0" applyFont="1" applyFill="1" applyBorder="1" applyAlignment="1">
      <alignment horizontal="center" vertical="center"/>
    </xf>
    <xf numFmtId="0" fontId="0" fillId="0" borderId="109" xfId="0" applyBorder="1" applyAlignment="1">
      <alignment horizontal="left" vertical="center" wrapText="1"/>
    </xf>
    <xf numFmtId="0" fontId="0" fillId="0" borderId="112" xfId="0" applyBorder="1" applyAlignment="1">
      <alignment horizontal="left" vertical="center" wrapText="1"/>
    </xf>
    <xf numFmtId="0" fontId="0" fillId="0" borderId="53" xfId="0" applyBorder="1" applyAlignment="1">
      <alignment horizontal="center"/>
    </xf>
    <xf numFmtId="0" fontId="0" fillId="0" borderId="43" xfId="0" applyBorder="1" applyAlignment="1">
      <alignment horizontal="center"/>
    </xf>
    <xf numFmtId="0" fontId="7" fillId="2" borderId="3" xfId="0" applyFont="1" applyFill="1" applyBorder="1" applyAlignment="1">
      <alignment horizontal="center" vertical="center" wrapText="1"/>
    </xf>
    <xf numFmtId="0" fontId="0" fillId="0" borderId="57" xfId="0" applyBorder="1" applyAlignment="1">
      <alignment horizontal="left" vertical="center" wrapText="1"/>
    </xf>
    <xf numFmtId="0" fontId="0" fillId="0" borderId="26" xfId="0" applyBorder="1" applyAlignment="1">
      <alignment horizontal="left" vertical="center" wrapText="1"/>
    </xf>
    <xf numFmtId="0" fontId="0" fillId="0" borderId="62" xfId="0" applyBorder="1" applyAlignment="1">
      <alignment horizontal="left" vertical="center" wrapText="1"/>
    </xf>
    <xf numFmtId="0" fontId="0" fillId="5" borderId="46" xfId="0" applyFill="1" applyBorder="1" applyAlignment="1">
      <alignment horizontal="left" vertical="center"/>
    </xf>
    <xf numFmtId="0" fontId="0" fillId="5" borderId="47" xfId="0" applyFill="1" applyBorder="1" applyAlignment="1">
      <alignment horizontal="left" vertical="center"/>
    </xf>
    <xf numFmtId="0" fontId="6" fillId="2" borderId="5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58"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53" xfId="1" applyNumberFormat="1" applyFont="1" applyFill="1" applyBorder="1" applyAlignment="1">
      <alignment horizontal="center" vertical="center" wrapText="1"/>
    </xf>
    <xf numFmtId="164" fontId="7" fillId="2" borderId="59" xfId="1" applyNumberFormat="1" applyFont="1" applyFill="1" applyBorder="1" applyAlignment="1">
      <alignment horizontal="center" vertical="center" wrapText="1"/>
    </xf>
    <xf numFmtId="164" fontId="7" fillId="7" borderId="53" xfId="1" applyNumberFormat="1" applyFont="1" applyFill="1" applyBorder="1" applyAlignment="1">
      <alignment horizontal="center" vertical="center" wrapText="1"/>
    </xf>
    <xf numFmtId="164" fontId="7" fillId="7" borderId="59" xfId="1" applyNumberFormat="1" applyFont="1" applyFill="1" applyBorder="1" applyAlignment="1">
      <alignment horizontal="center" vertical="center" wrapText="1"/>
    </xf>
    <xf numFmtId="0" fontId="26" fillId="2" borderId="58" xfId="7" applyFont="1" applyFill="1" applyBorder="1" applyAlignment="1">
      <alignment horizontal="center" vertical="center" wrapText="1"/>
    </xf>
    <xf numFmtId="0" fontId="1" fillId="2" borderId="41" xfId="0" applyFont="1" applyFill="1" applyBorder="1" applyAlignment="1">
      <alignment wrapText="1"/>
    </xf>
    <xf numFmtId="0" fontId="1" fillId="2" borderId="1" xfId="0" applyFont="1" applyFill="1" applyBorder="1" applyAlignment="1">
      <alignment wrapText="1"/>
    </xf>
    <xf numFmtId="0" fontId="1" fillId="2" borderId="53" xfId="0" applyFont="1" applyFill="1" applyBorder="1" applyAlignment="1">
      <alignment wrapText="1"/>
    </xf>
    <xf numFmtId="0" fontId="1" fillId="2" borderId="43" xfId="0" applyFont="1" applyFill="1" applyBorder="1" applyAlignment="1">
      <alignment wrapText="1"/>
    </xf>
    <xf numFmtId="0" fontId="1" fillId="2" borderId="59" xfId="0" applyFont="1" applyFill="1" applyBorder="1" applyAlignment="1">
      <alignment wrapText="1"/>
    </xf>
    <xf numFmtId="0" fontId="0" fillId="0" borderId="0" xfId="0" applyAlignment="1">
      <alignment horizontal="center"/>
    </xf>
    <xf numFmtId="0" fontId="34" fillId="0" borderId="0" xfId="8" applyFont="1" applyAlignment="1">
      <alignment horizontal="left" vertical="center" wrapText="1"/>
    </xf>
    <xf numFmtId="0" fontId="44" fillId="0" borderId="0" xfId="8" applyFont="1" applyAlignment="1">
      <alignment horizontal="left" vertical="top" wrapText="1"/>
    </xf>
    <xf numFmtId="0" fontId="31" fillId="0" borderId="0" xfId="8" applyAlignment="1">
      <alignment horizontal="left" wrapText="1"/>
    </xf>
    <xf numFmtId="0" fontId="37" fillId="0" borderId="18" xfId="8" applyFont="1" applyBorder="1" applyAlignment="1">
      <alignment horizontal="center" vertical="center"/>
    </xf>
    <xf numFmtId="173" fontId="14" fillId="0" borderId="78" xfId="0" applyNumberFormat="1" applyFont="1" applyFill="1" applyBorder="1" applyAlignment="1">
      <alignment vertical="center"/>
    </xf>
    <xf numFmtId="3" fontId="0" fillId="0" borderId="32" xfId="0" applyNumberFormat="1" applyBorder="1" applyProtection="1">
      <protection hidden="1"/>
    </xf>
    <xf numFmtId="6" fontId="0" fillId="0" borderId="18" xfId="2" applyNumberFormat="1" applyFont="1" applyFill="1" applyBorder="1" applyProtection="1">
      <protection locked="0"/>
    </xf>
    <xf numFmtId="168" fontId="0" fillId="0" borderId="18" xfId="0" applyNumberFormat="1" applyFont="1" applyFill="1" applyBorder="1"/>
    <xf numFmtId="2" fontId="0" fillId="0" borderId="18" xfId="0" applyNumberFormat="1" applyFont="1" applyFill="1" applyBorder="1"/>
    <xf numFmtId="44" fontId="1" fillId="0" borderId="18" xfId="2" applyFont="1" applyFill="1" applyBorder="1" applyProtection="1">
      <protection locked="0"/>
    </xf>
    <xf numFmtId="6" fontId="1" fillId="0" borderId="18" xfId="2" applyNumberFormat="1" applyFont="1" applyFill="1" applyBorder="1" applyProtection="1">
      <protection locked="0"/>
    </xf>
    <xf numFmtId="0" fontId="0" fillId="0" borderId="32" xfId="0" applyFont="1" applyFill="1" applyBorder="1" applyProtection="1">
      <protection hidden="1"/>
    </xf>
    <xf numFmtId="44" fontId="1" fillId="0" borderId="18" xfId="2" applyFont="1" applyFill="1" applyBorder="1" applyProtection="1">
      <protection hidden="1"/>
    </xf>
  </cellXfs>
  <cellStyles count="11">
    <cellStyle name="Comma" xfId="1" builtinId="3"/>
    <cellStyle name="Currency" xfId="2" builtinId="4"/>
    <cellStyle name="Good" xfId="5" builtinId="26"/>
    <cellStyle name="Normal" xfId="0" builtinId="0"/>
    <cellStyle name="Normal 10 2" xfId="4" xr:uid="{00000000-0005-0000-0000-000004000000}"/>
    <cellStyle name="Normal 2" xfId="8" xr:uid="{00000000-0005-0000-0000-000005000000}"/>
    <cellStyle name="Normal 4 2" xfId="10" xr:uid="{A25A4B80-BAD7-418A-BA6C-E361FF25BCD5}"/>
    <cellStyle name="Normal 5" xfId="9" xr:uid="{64646C6E-E021-48F3-89ED-962932AEA9E7}"/>
    <cellStyle name="Normal_Lookup Sheet" xfId="6" xr:uid="{00000000-0005-0000-0000-000006000000}"/>
    <cellStyle name="Normal_Revised Exhibit 1_021810_Eberts" xfId="7" xr:uid="{00000000-0005-0000-0000-000007000000}"/>
    <cellStyle name="Percent" xfId="3" builtinId="5"/>
  </cellStyles>
  <dxfs count="1">
    <dxf>
      <fill>
        <patternFill>
          <bgColor theme="7"/>
        </patternFill>
      </fill>
    </dxf>
  </dxfs>
  <tableStyles count="0" defaultTableStyle="TableStyleMedium2" defaultPivotStyle="PivotStyleLight16"/>
  <colors>
    <mruColors>
      <color rgb="FF934BC9"/>
      <color rgb="FFD4A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63" Type="http://schemas.openxmlformats.org/officeDocument/2006/relationships/externalLink" Target="externalLinks/externalLink47.xml"/><Relationship Id="rId68" Type="http://schemas.openxmlformats.org/officeDocument/2006/relationships/externalLink" Target="externalLinks/externalLink52.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66" Type="http://schemas.openxmlformats.org/officeDocument/2006/relationships/externalLink" Target="externalLinks/externalLink50.xml"/><Relationship Id="rId74" Type="http://schemas.openxmlformats.org/officeDocument/2006/relationships/sharedStrings" Target="sharedString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externalLink" Target="externalLinks/externalLink45.xml"/><Relationship Id="rId19" Type="http://schemas.openxmlformats.org/officeDocument/2006/relationships/externalLink" Target="externalLinks/externalLink3.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64" Type="http://schemas.openxmlformats.org/officeDocument/2006/relationships/externalLink" Target="externalLinks/externalLink48.xml"/><Relationship Id="rId69" Type="http://schemas.openxmlformats.org/officeDocument/2006/relationships/externalLink" Target="externalLinks/externalLink53.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5.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67" Type="http://schemas.openxmlformats.org/officeDocument/2006/relationships/externalLink" Target="externalLinks/externalLink5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externalLink" Target="externalLinks/externalLink46.xml"/><Relationship Id="rId70" Type="http://schemas.openxmlformats.org/officeDocument/2006/relationships/externalLink" Target="externalLinks/externalLink54.xml"/><Relationship Id="rId75"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externalLink" Target="externalLinks/externalLink44.xml"/><Relationship Id="rId65" Type="http://schemas.openxmlformats.org/officeDocument/2006/relationships/externalLink" Target="externalLinks/externalLink49.xml"/><Relationship Id="rId73" Type="http://schemas.openxmlformats.org/officeDocument/2006/relationships/styles" Target="styles.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2.xml"/><Relationship Id="rId39" Type="http://schemas.openxmlformats.org/officeDocument/2006/relationships/externalLink" Target="externalLinks/externalLink23.xml"/><Relationship Id="rId34" Type="http://schemas.openxmlformats.org/officeDocument/2006/relationships/externalLink" Target="externalLinks/externalLink18.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55.xml"/><Relationship Id="rId2" Type="http://schemas.openxmlformats.org/officeDocument/2006/relationships/worksheet" Target="worksheets/sheet2.xml"/><Relationship Id="rId29"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2-6'!$M$1:$N$1</c:f>
              <c:strCache>
                <c:ptCount val="2"/>
                <c:pt idx="0">
                  <c:v>Annual Energy Savings</c:v>
                </c:pt>
                <c:pt idx="1">
                  <c:v>Expenditures</c:v>
                </c:pt>
              </c:strCache>
            </c:strRef>
          </c:cat>
          <c:val>
            <c:numRef>
              <c:f>'Tables 2-6'!$M$3:$N$3</c:f>
              <c:numCache>
                <c:formatCode>0%</c:formatCode>
                <c:ptCount val="2"/>
                <c:pt idx="0">
                  <c:v>0.13795821139686384</c:v>
                </c:pt>
                <c:pt idx="1">
                  <c:v>0.20220483393195207</c:v>
                </c:pt>
              </c:numCache>
            </c:numRef>
          </c:val>
          <c:extLst>
            <c:ext xmlns:c16="http://schemas.microsoft.com/office/drawing/2014/chart" uri="{C3380CC4-5D6E-409C-BE32-E72D297353CC}">
              <c16:uniqueId val="{00000000-3354-445B-B2E5-F8F3DDA801A2}"/>
            </c:ext>
          </c:extLst>
        </c:ser>
        <c:dLbls>
          <c:dLblPos val="outEnd"/>
          <c:showLegendKey val="0"/>
          <c:showVal val="1"/>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0</c:v>
                </c:pt>
                <c:pt idx="1">
                  <c:v>0</c:v>
                </c:pt>
              </c:numCache>
            </c:numRef>
          </c:val>
          <c:extLst>
            <c:ext xmlns:c16="http://schemas.microsoft.com/office/drawing/2014/chart" uri="{C3380CC4-5D6E-409C-BE32-E72D297353CC}">
              <c16:uniqueId val="{00000000-332D-4433-B141-5880F37E1C68}"/>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numCache>
            </c:numRef>
          </c:val>
          <c:extLst>
            <c:ext xmlns:c16="http://schemas.microsoft.com/office/drawing/2014/chart" uri="{C3380CC4-5D6E-409C-BE32-E72D297353CC}">
              <c16:uniqueId val="{00000000-03DC-43F0-BD8D-B6F5A722D658}"/>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717549</xdr:colOff>
      <xdr:row>5</xdr:row>
      <xdr:rowOff>224896</xdr:rowOff>
    </xdr:from>
    <xdr:to>
      <xdr:col>17</xdr:col>
      <xdr:colOff>710406</xdr:colOff>
      <xdr:row>22</xdr:row>
      <xdr:rowOff>539749</xdr:rowOff>
    </xdr:to>
    <xdr:graphicFrame macro="">
      <xdr:nvGraphicFramePr>
        <xdr:cNvPr id="3"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419100</xdr:colOff>
      <xdr:row>2</xdr:row>
      <xdr:rowOff>66675</xdr:rowOff>
    </xdr:from>
    <xdr:to>
      <xdr:col>21</xdr:col>
      <xdr:colOff>152400</xdr:colOff>
      <xdr:row>12</xdr:row>
      <xdr:rowOff>180975</xdr:rowOff>
    </xdr:to>
    <xdr:sp macro="" textlink="">
      <xdr:nvSpPr>
        <xdr:cNvPr id="2" name="TextBox 1">
          <a:extLst>
            <a:ext uri="{FF2B5EF4-FFF2-40B4-BE49-F238E27FC236}">
              <a16:creationId xmlns:a16="http://schemas.microsoft.com/office/drawing/2014/main" id="{983267BC-2385-1B53-C7A3-D098503A188A}"/>
            </a:ext>
          </a:extLst>
        </xdr:cNvPr>
        <xdr:cNvSpPr txBox="1"/>
      </xdr:nvSpPr>
      <xdr:spPr>
        <a:xfrm>
          <a:off x="11268075" y="447675"/>
          <a:ext cx="3390900" cy="2019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Confirm formulas with</a:t>
          </a:r>
          <a:r>
            <a:rPr lang="en-US" sz="1200" b="1" baseline="0"/>
            <a:t> Imran</a:t>
          </a:r>
        </a:p>
        <a:p>
          <a:endParaRPr lang="en-US" sz="1200" b="1" baseline="0"/>
        </a:p>
        <a:p>
          <a:r>
            <a:rPr lang="en-US" sz="1200" b="1" baseline="0"/>
            <a:t>Coming from Guidehouse</a:t>
          </a:r>
          <a:endParaRPr lang="en-US"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63501</xdr:colOff>
      <xdr:row>3</xdr:row>
      <xdr:rowOff>103188</xdr:rowOff>
    </xdr:from>
    <xdr:to>
      <xdr:col>15</xdr:col>
      <xdr:colOff>579438</xdr:colOff>
      <xdr:row>16</xdr:row>
      <xdr:rowOff>103188</xdr:rowOff>
    </xdr:to>
    <xdr:sp macro="" textlink="">
      <xdr:nvSpPr>
        <xdr:cNvPr id="2" name="TextBox 1">
          <a:extLst>
            <a:ext uri="{FF2B5EF4-FFF2-40B4-BE49-F238E27FC236}">
              <a16:creationId xmlns:a16="http://schemas.microsoft.com/office/drawing/2014/main" id="{CE0597BD-B117-5633-E2C3-FDAFF850B517}"/>
            </a:ext>
          </a:extLst>
        </xdr:cNvPr>
        <xdr:cNvSpPr txBox="1"/>
      </xdr:nvSpPr>
      <xdr:spPr>
        <a:xfrm>
          <a:off x="12144376" y="674688"/>
          <a:ext cx="4183062" cy="2857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Divide eTRACK+ Therms by 10 to get MMBtu</a:t>
          </a:r>
        </a:p>
        <a:p>
          <a:endParaRPr lang="en-US" sz="1100" baseline="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xdr:colOff>
      <xdr:row>9</xdr:row>
      <xdr:rowOff>19050</xdr:rowOff>
    </xdr:from>
    <xdr:to>
      <xdr:col>13</xdr:col>
      <xdr:colOff>304800</xdr:colOff>
      <xdr:row>20</xdr:row>
      <xdr:rowOff>76200</xdr:rowOff>
    </xdr:to>
    <xdr:graphicFrame macro="">
      <xdr:nvGraphicFramePr>
        <xdr:cNvPr id="5"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581391</xdr:colOff>
      <xdr:row>22</xdr:row>
      <xdr:rowOff>90119</xdr:rowOff>
    </xdr:from>
    <xdr:to>
      <xdr:col>12</xdr:col>
      <xdr:colOff>566737</xdr:colOff>
      <xdr:row>39</xdr:row>
      <xdr:rowOff>57149</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1</xdr:row>
      <xdr:rowOff>95250</xdr:rowOff>
    </xdr:from>
    <xdr:to>
      <xdr:col>12</xdr:col>
      <xdr:colOff>180975</xdr:colOff>
      <xdr:row>4</xdr:row>
      <xdr:rowOff>0</xdr:rowOff>
    </xdr:to>
    <xdr:sp macro="" textlink="">
      <xdr:nvSpPr>
        <xdr:cNvPr id="4" name="TextBox 3">
          <a:extLst>
            <a:ext uri="{FF2B5EF4-FFF2-40B4-BE49-F238E27FC236}">
              <a16:creationId xmlns:a16="http://schemas.microsoft.com/office/drawing/2014/main" id="{8A95E087-9921-57ED-88F0-E6B4FBCB6F8E}"/>
            </a:ext>
            <a:ext uri="{147F2762-F138-4A5C-976F-8EAC2B608ADB}">
              <a16:predDERef xmlns:a16="http://schemas.microsoft.com/office/drawing/2014/main" pred="{00000000-0008-0000-0900-000003000000}"/>
            </a:ext>
          </a:extLst>
        </xdr:cNvPr>
        <xdr:cNvSpPr txBox="1"/>
      </xdr:nvSpPr>
      <xdr:spPr>
        <a:xfrm>
          <a:off x="8210550" y="323850"/>
          <a:ext cx="4629150" cy="1847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r>
            <a:rPr lang="en-US" sz="1100" baseline="0"/>
            <a:t> Primary Metrics - pulled from Ap B tab?</a:t>
          </a:r>
        </a:p>
        <a:p>
          <a:r>
            <a:rPr lang="en-US" sz="1100" baseline="0"/>
            <a:t>- Secondary Metrics - how to calculate?</a:t>
          </a:r>
        </a:p>
        <a:p>
          <a:endParaRPr lang="en-US" sz="1100" baseline="0"/>
        </a:p>
        <a:p>
          <a:r>
            <a:rPr lang="en-US" sz="1100" baseline="0">
              <a:solidFill>
                <a:srgbClr val="FF0000"/>
              </a:solidFill>
            </a:rPr>
            <a:t>- Data will come from Guidehouse</a:t>
          </a:r>
        </a:p>
        <a:p>
          <a:endParaRPr lang="en-US" sz="1100" baseline="0"/>
        </a:p>
        <a:p>
          <a:r>
            <a:rPr lang="en-US" sz="1100" baseline="0"/>
            <a:t>- </a:t>
          </a:r>
          <a:r>
            <a:rPr lang="en-US" sz="1100"/>
            <a:t>Lifetime</a:t>
          </a:r>
          <a:r>
            <a:rPr lang="en-US" sz="1100" baseline="0"/>
            <a:t> Savings are not reflected in the tables but there is a chart for it. Last year, only the first chart "Annual Savings" was included.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2</xdr:row>
      <xdr:rowOff>742951</xdr:rowOff>
    </xdr:from>
    <xdr:to>
      <xdr:col>10</xdr:col>
      <xdr:colOff>219075</xdr:colOff>
      <xdr:row>7</xdr:row>
      <xdr:rowOff>228601</xdr:rowOff>
    </xdr:to>
    <xdr:sp macro="" textlink="">
      <xdr:nvSpPr>
        <xdr:cNvPr id="2" name="TextBox 1">
          <a:extLst>
            <a:ext uri="{FF2B5EF4-FFF2-40B4-BE49-F238E27FC236}">
              <a16:creationId xmlns:a16="http://schemas.microsoft.com/office/drawing/2014/main" id="{BAD27D88-7616-64A5-06F9-6CF776959649}"/>
            </a:ext>
          </a:extLst>
        </xdr:cNvPr>
        <xdr:cNvSpPr txBox="1"/>
      </xdr:nvSpPr>
      <xdr:spPr>
        <a:xfrm>
          <a:off x="7372350" y="1200151"/>
          <a:ext cx="3305175" cy="1771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How to calculate Dth</a:t>
          </a:r>
          <a:r>
            <a:rPr lang="en-US" sz="1200" b="1" baseline="0"/>
            <a:t>?</a:t>
          </a:r>
        </a:p>
        <a:p>
          <a:endParaRPr lang="en-US" sz="1200" b="1" baseline="0"/>
        </a:p>
        <a:p>
          <a:r>
            <a:rPr lang="en-US" sz="1200" b="0" baseline="0">
              <a:solidFill>
                <a:srgbClr val="FF0000"/>
              </a:solidFill>
            </a:rPr>
            <a:t>- Need to get data from Guidehouse</a:t>
          </a:r>
          <a:endParaRPr lang="en-US" sz="1200" b="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214520</xdr:colOff>
      <xdr:row>1</xdr:row>
      <xdr:rowOff>128784</xdr:rowOff>
    </xdr:from>
    <xdr:to>
      <xdr:col>19</xdr:col>
      <xdr:colOff>68613</xdr:colOff>
      <xdr:row>10</xdr:row>
      <xdr:rowOff>43166</xdr:rowOff>
    </xdr:to>
    <xdr:sp macro="" textlink="">
      <xdr:nvSpPr>
        <xdr:cNvPr id="2" name="TextBox 1">
          <a:extLst>
            <a:ext uri="{FF2B5EF4-FFF2-40B4-BE49-F238E27FC236}">
              <a16:creationId xmlns:a16="http://schemas.microsoft.com/office/drawing/2014/main" id="{127D1B75-F936-9E17-BB81-F98F038D3DAC}"/>
            </a:ext>
          </a:extLst>
        </xdr:cNvPr>
        <xdr:cNvSpPr txBox="1"/>
      </xdr:nvSpPr>
      <xdr:spPr>
        <a:xfrm>
          <a:off x="14745437" y="319284"/>
          <a:ext cx="3759343" cy="20204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Confirm formulas with Imran</a:t>
          </a:r>
        </a:p>
        <a:p>
          <a:endParaRPr lang="en-US" sz="1200" b="1"/>
        </a:p>
        <a:p>
          <a:r>
            <a:rPr lang="en-US" sz="1200" b="1"/>
            <a:t>Guidehouse will be putting together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eloncorp.sharepoint.com/04230/2000welf/othsys/boutinp/PCCsProvisions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udget-Accounting\0901%20Close\VPS_0901_Close\Sep_01_FinReview_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xeloncorp.sharepoint.com/2005%20Reporting%20Requirements/Apr/MFR%20_%20Leadership%20Deck/MFR%20Views%20-%20EED%20O&amp;M%20(BSC-TFP-Passthru)%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xeloncorp.sharepoint.com/Documents%20and%20Settings/kosoffr/My%20Documents/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EED\BusinessOps\EED%20Business%20Ops%20(Working)\MFR\May%202005%20Financial%20Reporting\EED%20May%202005%20Support%20Dec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xeloncorp.sharepoint.com/PDelivery/NCRO/Regiondata1/0888_revaccount/Revenue%20Accounting/2020/01%20January/ACE/SSL/eSSL%20v7.3.0%200120%20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xeloncorp.sharepoint.com/Documents%20and%20Settings/MOORBP/Local%20Settings/Temporary%20Internet%20Files/OLKC4D/Consolidatd%202007%20-2011%20LRP%20Impact%20Analysis%20_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xeloncorp.sharepoint.com/cp-wpp-fp13/ud3/JJanocha/2004%20TUB%20Budget/2004%20Financial%20Reporting/September/2004%20TUB%20Forecast%209&amp;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xeloncorp.sharepoint.com/Shared/NEW%20JERSEY%20DEFERRAL%20RECOVERY%20CASE%202002/DEFERRAL%20CASE/Work%20Papers/Janocha%20Work%20Papers/2002-2006%20TUB%20Forecast%20Deferral%20Case%20v0501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xeloncorp.sharepoint.com/FNBNW301/VOL5/74639/98Comp/Adam/Top%20Exec%20Pricing%20-%20Gen%20In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xeloncorp.sharepoint.com/cp-wpp-fp13/ud3/JJanocha/August%202003%20Rate%20Change/BPU%20Deferral%20Order/2003-2007%20TUB%20Forecast%20Deferral%20Case%20v08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FLEET%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xeloncorp.sharepoint.com/JJanocha/2004%20May%20Board%20Retreat/2004-2008%20TUB%20Forecast%20MBR%20v04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WINDOWS\Temporary%20Internet%20Files\OLK3180\PECO%2012-31-01%20FRP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Staff\jdm\misc\2002%202Q\Rptng%20Pkg\June%202002\Exelon%20Consolidated%20EFRP%20June%202002%20Current%2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PED\Business%20Unit\Planning%20&amp;%20Analysis\Monthly%20Data\2001\Q3%20MFR%20and%20QMM\July%20'Output'%20Files%20and%20Other%20Info\Output%20PECO-08-17-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VPS%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xeloncorp.sharepoint.com/74639/06RET/(751)%20BU%20Allocations/Inactive%20BU%20Allocation%20Codes/Assignment%20of%20Inactive%20BU%20Codes/Active%20and%20Inactive%20Percentages%20-%20Pensi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exeloncorp.sharepoint.com/Pepcoholdings.biz/corpdata/Users/dclemente/Documents/My_Files/Projects/03.Exelon_ESI_Finance/Role_Assignments/BPC_Users_to_Roles_v01-JW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WINDOWS\TEMP\REPORT1.xlr"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exeloncorp.sharepoint.com/Shared/NewJerseyDeferrals/1999%20Deferrals/oct99/OctoberTariff(Ol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exeloncorp.sharepoint.com/Chmclstr2_vol3_server/VOL3/DATA/CORP/CA_CCC/Spreadsheet%20Inventory/Spreadsheet%20Inventory%20Template%20-%20May%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eloncorp.sharepoint.com/corpdata/PDelivery/NCRO/Regiondata3/0854_regaffairs/Revenue%20Requirements/Maryland/Maryland%202006%20Base%20Rate%20Filing/Delmarva%20Maryland%206+6%20end%20Sept%2006%20Distrib%20C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xeloncorp.sharepoint.com/Distribution%20Rate%20Cases/2014%20Formula%20Rate/Data%20Requests/Final/Staff/TEE%207.01/ComEd%202012%20Depr%20Schedules,%2012%202%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FINANCE\DEPT-TAX\General%20Ledger%20Department\KAH\Credit%20Facili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Q:\OSTBenchmarkP7FY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xeloncorp.sharepoint.com/74639/07/RET/(850,851,855)%20Combined%20Results/Disclosures/Year%20End%20Disclosure/Templates/Exelon%20FAS%20158%2012.31.2007%20-%20Pension%20Templ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exeloncorp.sharepoint.com/CCCCLSTR2_VOL7_SERVER/VOL7/CA_CCC/Stock%20Options%20-%20FAS%20123R/Budget/2008%20Forecast/FAS%20123R%20Option%20Model%202008%20w_2009%20Forecast.0914vS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exeloncorp.sharepoint.com/CCCCLSTR2_VOL7_SERVER/VOL7/win32/TEMP/insid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xeloncorp.sharepoint.com/cp-wpp-fp13/ud3/JJanocha/JJanocha/NJ%20Restructuring/2000%20Rates/Rate%20Design/2000%20Rat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DOCUME~1\jollu\LOCALS~1\Temp\2005%20Exelon%20IT%20Programs_EDS040603%20Customer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ocuments%20and%20Settings\u999tfe\Desktop\3year\tomFFA%202005-08%20Exelon%20IT%20Programs_Initiativ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exeloncorp.sharepoint.com/G035/REPORTNG/REPORTS/TOTALKW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xeloncorp.sharepoint.com/Lc3msfs01/lc3nwclstr1_vol16/Documents%20and%20Settings/kyeh001/My%20Documents/Agouron/Ready%20for%20Review/Executive%20Summary/california%20Agouron%20Supermodel@10%2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exeloncorp.sharepoint.com/DOCUME~1/ALEMRX/LOCALS~1/TEMP/wz08b9/PECO%20PJM%20Bill%20Analysis%2010%20October%202013%20Actu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exeloncorp.sharepoint.com/Documents%20and%20Settings/alemrx/Local%20Settings/Temporary%20Internet%20Files/Content.Outlook/NEVXPJG3/PJM%20Bill%20Analysis%20March%202014%20Actu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xeloncorp.sharepoint.com/Users/bednmx/AppData/Local/Microsoft/Windows/Temporary%20Internet%20Files/Content.Outlook/PF2G4DO7/Pgs%20328-330%20PJM%20Bill%20Analysis%20June%202016%20Estimat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xeloncorp.sharepoint.com/DOCUME~1/ALEMRX/LOCALS~1/TEMP/wzc5d8/PECO%20PJM%20Bill%20Analysis%2012%20December%202013%20Actu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exeloncorp.sharepoint.com/Corporate/2134_10q/Pepco%20Control%20Sheets/Control%20Sheets/control%20sheet%2001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xeloncorp.sharepoint.com/cp-wpp-fp13/ud3/Documents%20and%20Settings/jjanocha/August%202003%20Rate%20Change/Distribution%20Rates/Discovery/NJBPU-S-RD-1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exeloncorp.sharepoint.com/FNBNW301/VOL5/STAFF/jdm/misc/2001%202Q/MERGE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exeloncorp.sharepoint.com/Corp1/DATA1/Share/nVision/Pedistr/Balance%20Sheet/2001-8/10200-Balance%20Sheet-Aug-20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xeloncorp.sharepoint.com/CHMCLSTR2_VOL3_SERVER/VOL3/COMP_PLN/Annual%20Incentive/2002%20AIP/AIP%20and%20Merit%20Planning%20for%20band%207%20and%20above%20Enterprise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exeloncorp.sharepoint.com/FNBNW301/VOL5/STAFF/jdm/KMH/Merge/FERC%20Filing/FERC%20stmts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ocuments%20and%20Settings\morrjq\My%20Documents\Project\FFA%202005-08%20Exelon%20IT%20Programs_Initiatives-Jo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exeloncorp.sharepoint.com/Lc3msfs01/lc3nwclstr1_vol16/TEMP/6-09-02SAMPLE%20EXTRAPOL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exeloncorp.sharepoint.com/cp-wpp-fp13/ud3/JJanocha/2004%20May%20Board%20Retreat/2004-2008%20TUB%20Forecast%20MBR%20v04200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exeloncorp.sharepoint.com/74639/07/RET/(751)%20BU%20Allocations/5.%202007%20BU%20Allocation%20Percentages/Allocation%20of%20Forecasted%20Pension%20Costs%202007-2016%20-%20With%20Asset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Q:\EED\BusinessOps\EED%20Business%20Ops%20(Working)\MFR\Apr%202005%20Financial%20Reporting\EED%20Apr%202005%20Support%20Dec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E085084\AppData\Local\Microsoft\Windows\INetCache\Content.Outlook\CDT462U0\ACE%20PY2%20Q4%202023%20Reporting%20Tables%20-%20Final%20Version%20v2%20(003).xlsx" TargetMode="External"/></Relationships>
</file>

<file path=xl/externalLinks/_rels/externalLink55.xml.rels><?xml version="1.0" encoding="UTF-8" standalone="yes"?>
<Relationships xmlns="http://schemas.openxmlformats.org/package/2006/relationships"><Relationship Id="rId2" Type="http://schemas.microsoft.com/office/2019/04/relationships/externalLinkLongPath" Target="https://trccompanies-my.sharepoint.com/sites/PHIDSMTeam/Shared%20Documents/ACE%20EE%20Program%20Portfolio/Regulatory%20Compliance%20Filings/Quarterly%20Progress%20Report/PY1%20-%20July%202021%20through%20June%202022/Q4%20-%20April%20through%20June/Final%20Filed%20Versions/Masterdata?E16603C2" TargetMode="External"/><Relationship Id="rId1" Type="http://schemas.openxmlformats.org/officeDocument/2006/relationships/externalLinkPath" Target="file:///\\E16603C2\Masterdata"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TEMP\6-09-02SAMPLE%20EXTRAPOLATION.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exeloncorp.sharepoint.com/sites/PHIDSMTeam/Shared%20Documents/ACE%20EE%20Program%20Portfolio/Regulatory%20Compliance%20Filings/Quarterly%20Progress%20Report/PY1%20-%20July%202021%20through%20June%202022/Q4%20-%20April%20through%20June/Final%20Filed%20Versions/Masterdata?5B36EC84" TargetMode="External"/><Relationship Id="rId1" Type="http://schemas.openxmlformats.org/officeDocument/2006/relationships/externalLinkPath" Target="file:///\\5B36EC84\Masterdat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xeloncorp.sharepoint.com/2005%20Budgets/2005%20Khalix%20Budget%20Reports/2005%20CapEx%20(By%20VP%20By%20Dept)%20Budg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ocuments%20and%20Settings\mcmajx\Local%20Settings\Temporary%20Internet%20Files\OLK42C\PECO%20RNF%20Tracking%20Report_Februar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RetireeCensus"/>
      <sheetName val="2000PCCs"/>
      <sheetName val="2000PlanProvisions"/>
      <sheetName val="JobDefinition"/>
      <sheetName val="Input"/>
    </sheetNames>
    <sheetDataSet>
      <sheetData sheetId="0" refreshError="1"/>
      <sheetData sheetId="1" refreshError="1"/>
      <sheetData sheetId="2" refreshError="1"/>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O Bal Sht"/>
      <sheetName val="Assumptions"/>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ED O&amp;M BO data"/>
      <sheetName val="category BO data"/>
      <sheetName val="lookup values"/>
      <sheetName val="BSC TFP Passthru----&gt;"/>
      <sheetName val="TOTAL"/>
      <sheetName val="TOTAL V2"/>
      <sheetName val="TOTAL V3"/>
      <sheetName val="Embedded EED"/>
      <sheetName val="Embedded ComEd"/>
      <sheetName val="Embedded PECO"/>
      <sheetName val="Embedded Commun EED"/>
      <sheetName val="Embedded Commun ComEd"/>
      <sheetName val="Embedded Commun PECO"/>
      <sheetName val="Embedded Finance ComEd"/>
      <sheetName val="Embedded Finance PECO"/>
      <sheetName val="Embedded Finance EED-Sum"/>
      <sheetName val="Embedded Finance ComEd-Sum"/>
      <sheetName val="Embedded Finance PECO-Sum"/>
      <sheetName val="Embedded Finance EED"/>
      <sheetName val="Finance"/>
      <sheetName val="Tax"/>
      <sheetName val="Controller"/>
      <sheetName val="Bank Fees"/>
      <sheetName val="Embedded HR EED"/>
      <sheetName val="Embedded HR ComEd"/>
      <sheetName val="Embedded HR PECO"/>
      <sheetName val="Embedded IT EED"/>
      <sheetName val="Embedded IT ComEd"/>
      <sheetName val="Embedded IT PECO"/>
      <sheetName val="Embedded Legal EED"/>
      <sheetName val="Embedded Legal Summary"/>
      <sheetName val="Embedded Legal ComEd"/>
      <sheetName val="Embedded Legal PECO"/>
      <sheetName val="Embedded Supply EED"/>
      <sheetName val="Embedded Supply ComEd"/>
      <sheetName val="Embedded Supply PECO"/>
      <sheetName val="Corp Allocated EED"/>
      <sheetName val="Corp Allocated ComEd"/>
      <sheetName val="Corp Allocated PECO"/>
      <sheetName val="Transactional EED"/>
      <sheetName val="Transactional ComEd"/>
      <sheetName val="Transactional PECO"/>
      <sheetName val="Transactional---EDSS"/>
      <sheetName val="PECO Bal 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ll EED O&amp;M BO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PECO TOTI"/>
      <sheetName val="ComEd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ENTERPRISES"/>
    </sheetNames>
    <sheetDataSet>
      <sheetData sheetId="0" refreshError="1">
        <row r="2">
          <cell r="B2" t="str">
            <v>April 2005</v>
          </cell>
        </row>
        <row r="3">
          <cell r="B3" t="str">
            <v>April 30, 2005</v>
          </cell>
        </row>
        <row r="4">
          <cell r="B4" t="str">
            <v>Balances as of April 30th</v>
          </cell>
        </row>
        <row r="5">
          <cell r="B5" t="str">
            <v>4+8 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_H"/>
      <sheetName val="ICBTemplate"/>
      <sheetName val="ACESRECADJ"/>
      <sheetName val="RNFZECOVER"/>
      <sheetName val="RNFZECINT"/>
      <sheetName val="RNFSRECINT"/>
      <sheetName val="RNFSRECAC"/>
      <sheetName val="RNFACE494"/>
      <sheetName val="RNFTBCMTT"/>
      <sheetName val="RNFACEDEF"/>
      <sheetName val="RNFLLCINT"/>
      <sheetName val="NRFAINT"/>
      <sheetName val="RNFUNBILL"/>
      <sheetName val="NRFSREC1AM"/>
      <sheetName val="RNFACELOSS"/>
      <sheetName val="RNFAMORTSC"/>
      <sheetName val="RNFSREC1FR"/>
      <sheetName val="Control"/>
      <sheetName val="Template"/>
      <sheetName val="Notes"/>
      <sheetName val="eSSLBufferPtrSheet"/>
      <sheetName val="eSSL v7.3.0 0120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by BU_Acct &amp; Reas Code"/>
      <sheetName val="Summary by BU &amp; Reason Code"/>
      <sheetName val="Summary Account Category by BU"/>
      <sheetName val="Summary by Reason Code "/>
      <sheetName val="Summary Account Category"/>
      <sheetName val="Summary Report by Yr &amp; Category"/>
      <sheetName val="Sum. Rpt by Yr,Cat&amp;Reason Code"/>
      <sheetName val="Summary _New Technology"/>
      <sheetName val="Allocation of Corporate"/>
      <sheetName val="Summay New Tech by BU"/>
      <sheetName val="New Tech by IT Cat &amp; BU"/>
      <sheetName val="Valid Table Values"/>
      <sheetName val="New Technology by IT Category"/>
      <sheetName val="New Technology_2007"/>
      <sheetName val="New Technology_2008"/>
      <sheetName val="New Technology_2009"/>
      <sheetName val="New Technology_2010"/>
      <sheetName val="New Technology_2011"/>
      <sheetName val="Allocation to Projects"/>
      <sheetName val="Existing Technology_Price"/>
      <sheetName val="Existing Technology_Volume"/>
      <sheetName val="Internal Transfers"/>
      <sheetName val="External Transfers"/>
      <sheetName val="Input Section"/>
      <sheetName val="Reason Code Example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UBR Forecast"/>
      <sheetName val="Income Statement 9&amp;3"/>
      <sheetName val="Bonds Summary"/>
      <sheetName val="ACE LLC Detail Income Statement"/>
      <sheetName val="JFJ-1 Deferral Recovery Rate"/>
      <sheetName val="JFJ-2 NNC Rates"/>
      <sheetName val="JFJ-3 MTC Rate"/>
      <sheetName val="JFJ-4 CEP Rate"/>
      <sheetName val="JFJ-5 USF Rate"/>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 2007 BGS FP Costs"/>
      <sheetName val="Keystone Swap Amort Sched"/>
      <sheetName val="Restructuring Amort."/>
      <sheetName val="ACE 25 Year Sales Forecast"/>
      <sheetName val="BL England Rev Req"/>
      <sheetName val="Keystone Rev Req"/>
      <sheetName val="Conemaugh Rev Req"/>
      <sheetName val="Generation Summary"/>
      <sheetName val="taxes"/>
      <sheetName val="OTRA Discounts"/>
      <sheetName val="Deferral Securitization"/>
      <sheetName val="Debt Design"/>
      <sheetName val="TBC Development"/>
      <sheetName val="MTC -Tax Development"/>
      <sheetName val="Budget Summary"/>
      <sheetName val="ACE TUB - Monthly Summary"/>
      <sheetName val="TUB OTHER"/>
      <sheetName val="TUB ACE xd"/>
      <sheetName val="ACE FUND"/>
      <sheetName val="Amort Summary"/>
    </sheetNames>
    <sheetDataSet>
      <sheetData sheetId="0" refreshError="1"/>
      <sheetData sheetId="1"/>
      <sheetData sheetId="2"/>
      <sheetData sheetId="3"/>
      <sheetData sheetId="4"/>
      <sheetData sheetId="5"/>
      <sheetData sheetId="6"/>
      <sheetData sheetId="7" refreshError="1"/>
      <sheetData sheetId="8"/>
      <sheetData sheetId="9"/>
      <sheetData sheetId="10" refreshError="1"/>
      <sheetData sheetId="1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2 NNC Rates"/>
      <sheetName val="JFJ-3 MTC Rate"/>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Load Weighted LMP"/>
      <sheetName val="Shopping Credit Table"/>
      <sheetName val="BGS Rates"/>
      <sheetName val="BGS NUG Rates"/>
      <sheetName val="2000 Generation Results"/>
      <sheetName val="Generation Results 6101"/>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Pepco_Billed"/>
      <sheetName val="Pepco_Net UnBilled"/>
      <sheetName val="TBC Rate Summary"/>
      <sheetName val="Restructuring Amort."/>
      <sheetName val="2002 - 2007 BGS FP Costs"/>
      <sheetName val="PRISM Impacts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Financi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pital Structure"/>
      <sheetName val="Deferral Forecast"/>
      <sheetName val="Revenue Requirements Summary"/>
      <sheetName val="750kW Bill Comparison"/>
      <sheetName val="Income Statement"/>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SBC Deferral"/>
      <sheetName val="MTC Deferral"/>
      <sheetName val="DSM August 1999 - July 2003"/>
      <sheetName val="Deferral Balances"/>
      <sheetName val="Interest Calc"/>
      <sheetName val="TUB Rate Summary"/>
      <sheetName val="NNC Rates 2002-2003"/>
      <sheetName val="Reg Asset Rates"/>
      <sheetName val="2002 Reg Asset Rate"/>
      <sheetName val="2002 - 2007 BGS FP Costs"/>
      <sheetName val="Shopping Credit Table"/>
      <sheetName val="BGS Rates"/>
      <sheetName val="BGS NUG Rates"/>
      <sheetName val="Generation Results 7-2-01"/>
      <sheetName val="GRFT Amortization"/>
      <sheetName val="Keystone Swap Amort Sched"/>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Keystone Rev Req"/>
      <sheetName val="Conemaugh Rev Req"/>
      <sheetName val="taxes"/>
      <sheetName val="MTC Return"/>
      <sheetName val="SAP Upload Support"/>
      <sheetName val="OTRA Discounts"/>
      <sheetName val="5 YearUpdated4-24-02"/>
      <sheetName val="2002 Budget Revenues"/>
      <sheetName val="2001 Budget Revenues"/>
      <sheetName val="Rate Component Matrix"/>
      <sheetName val="Pepco_Billed"/>
      <sheetName val="Pepco_Net UnBilled"/>
      <sheetName val="Monthly Bill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CAP"/>
      <sheetName val="Smartview"/>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 val="MTC Return"/>
      <sheetName val="ACE 093002 LT Debt Actual "/>
      <sheetName val="kWh-Mcf"/>
      <sheetName val="Pepco_Billed"/>
      <sheetName val="Pepco_Net UnBil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12-SCF - Other Line Item Detail"/>
      <sheetName val="13-PPE"/>
      <sheetName val="14-Investments"/>
      <sheetName val="15-LTD"/>
      <sheetName val="16-GW Amort and Other Assets"/>
      <sheetName val="17-Equity Rollforward"/>
      <sheetName val="18-Footnote Disclosures"/>
      <sheetName val="19-Schedule II - Valuations"/>
      <sheetName val="20-Statistics -QTR"/>
      <sheetName val="21-Statistics - YTD"/>
      <sheetName val="22-Add'l Info"/>
    </sheetNames>
    <sheetDataSet>
      <sheetData sheetId="0" refreshError="1">
        <row r="11">
          <cell r="C11" t="str">
            <v>Dec 31 ,2001</v>
          </cell>
        </row>
        <row r="21">
          <cell r="C21" t="str">
            <v>Dec. 31, 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sheetDataSet>
      <sheetData sheetId="0" refreshError="1">
        <row r="9">
          <cell r="C9" t="str">
            <v>Exelon Consolidated</v>
          </cell>
        </row>
        <row r="26">
          <cell r="C26">
            <v>37072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v>1</v>
          </cell>
          <cell r="E3">
            <v>36892</v>
          </cell>
          <cell r="F3">
            <v>36923</v>
          </cell>
          <cell r="G3">
            <v>36951</v>
          </cell>
          <cell r="H3">
            <v>36982</v>
          </cell>
          <cell r="I3">
            <v>37012</v>
          </cell>
          <cell r="J3">
            <v>37043</v>
          </cell>
          <cell r="K3">
            <v>37073</v>
          </cell>
          <cell r="L3">
            <v>37104</v>
          </cell>
          <cell r="M3">
            <v>37135</v>
          </cell>
          <cell r="N3">
            <v>37165</v>
          </cell>
          <cell r="O3">
            <v>37196</v>
          </cell>
          <cell r="P3">
            <v>37226</v>
          </cell>
        </row>
        <row r="4">
          <cell r="A4">
            <v>2</v>
          </cell>
        </row>
        <row r="5">
          <cell r="A5">
            <v>3</v>
          </cell>
          <cell r="B5" t="str">
            <v>Actuals</v>
          </cell>
        </row>
        <row r="6">
          <cell r="A6">
            <v>4</v>
          </cell>
          <cell r="C6" t="str">
            <v>Monthly Sales &amp; Delivery Volumes</v>
          </cell>
        </row>
        <row r="7">
          <cell r="A7">
            <v>5</v>
          </cell>
          <cell r="C7" t="str">
            <v>Electric Energy Delivery (gWh)</v>
          </cell>
          <cell r="E7">
            <v>3167.65982983</v>
          </cell>
          <cell r="F7">
            <v>2749.27458699</v>
          </cell>
          <cell r="G7">
            <v>2903.188576</v>
          </cell>
          <cell r="H7">
            <v>2593.03422</v>
          </cell>
          <cell r="I7">
            <v>2711.198856</v>
          </cell>
          <cell r="J7">
            <v>3163.424532</v>
          </cell>
          <cell r="K7">
            <v>3211.3336720000002</v>
          </cell>
          <cell r="L7">
            <v>0</v>
          </cell>
          <cell r="M7">
            <v>0</v>
          </cell>
          <cell r="N7">
            <v>0</v>
          </cell>
          <cell r="O7">
            <v>0</v>
          </cell>
          <cell r="P7">
            <v>0</v>
          </cell>
        </row>
        <row r="8">
          <cell r="A8">
            <v>6</v>
          </cell>
          <cell r="C8" t="str">
            <v>Electric Energy Sales (gWh)</v>
          </cell>
          <cell r="E8">
            <v>2137.8675628300002</v>
          </cell>
          <cell r="F8">
            <v>1946.5558519900001</v>
          </cell>
          <cell r="G8">
            <v>2122.204299</v>
          </cell>
          <cell r="H8">
            <v>1795.2801159999999</v>
          </cell>
          <cell r="I8">
            <v>1939.092034</v>
          </cell>
          <cell r="J8">
            <v>2627.478717</v>
          </cell>
          <cell r="K8">
            <v>2747.009086</v>
          </cell>
          <cell r="L8">
            <v>0</v>
          </cell>
          <cell r="M8">
            <v>0</v>
          </cell>
          <cell r="N8">
            <v>0</v>
          </cell>
          <cell r="O8">
            <v>0</v>
          </cell>
          <cell r="P8">
            <v>0</v>
          </cell>
        </row>
        <row r="9">
          <cell r="A9">
            <v>7</v>
          </cell>
          <cell r="C9" t="str">
            <v>Electric Load Retention</v>
          </cell>
          <cell r="E9">
            <v>0.67490440188608702</v>
          </cell>
          <cell r="F9">
            <v>0.70802525917251358</v>
          </cell>
          <cell r="G9">
            <v>0.73099085486343551</v>
          </cell>
          <cell r="H9">
            <v>0.69234725178443646</v>
          </cell>
          <cell r="I9">
            <v>0.71521571710194021</v>
          </cell>
          <cell r="J9">
            <v>0.83058049604832485</v>
          </cell>
          <cell r="K9">
            <v>0.85541066938994803</v>
          </cell>
          <cell r="L9" t="e">
            <v>#DIV/0!</v>
          </cell>
          <cell r="M9" t="e">
            <v>#DIV/0!</v>
          </cell>
          <cell r="N9" t="e">
            <v>#DIV/0!</v>
          </cell>
          <cell r="O9" t="e">
            <v>#DIV/0!</v>
          </cell>
          <cell r="P9" t="e">
            <v>#DIV/0!</v>
          </cell>
        </row>
        <row r="10">
          <cell r="A10">
            <v>8</v>
          </cell>
          <cell r="C10" t="str">
            <v>Energy Purchased (gWh)</v>
          </cell>
          <cell r="E10">
            <v>2320.5419999999999</v>
          </cell>
          <cell r="F10">
            <v>2119.8249999999998</v>
          </cell>
          <cell r="G10">
            <v>2290.0239999999999</v>
          </cell>
          <cell r="H10">
            <v>2014.867</v>
          </cell>
          <cell r="I10">
            <v>2304.7449999999999</v>
          </cell>
          <cell r="J10">
            <v>2855.761</v>
          </cell>
          <cell r="K10">
            <v>2975.1120000000001</v>
          </cell>
          <cell r="L10">
            <v>0</v>
          </cell>
          <cell r="M10">
            <v>0</v>
          </cell>
          <cell r="N10">
            <v>0</v>
          </cell>
          <cell r="O10">
            <v>0</v>
          </cell>
          <cell r="P10">
            <v>0</v>
          </cell>
        </row>
        <row r="11">
          <cell r="A11">
            <v>9</v>
          </cell>
          <cell r="C11" t="str">
            <v>Gas (BCF)</v>
          </cell>
          <cell r="E11">
            <v>11.112</v>
          </cell>
          <cell r="F11">
            <v>8.7959999999999994</v>
          </cell>
          <cell r="G11">
            <v>8.3620000000000001</v>
          </cell>
          <cell r="H11">
            <v>3.867</v>
          </cell>
          <cell r="I11">
            <v>1.9259999999999999</v>
          </cell>
          <cell r="J11">
            <v>1.405</v>
          </cell>
          <cell r="K11">
            <v>1.3560000000000001</v>
          </cell>
          <cell r="L11">
            <v>0</v>
          </cell>
          <cell r="M11">
            <v>0</v>
          </cell>
          <cell r="N11">
            <v>0</v>
          </cell>
          <cell r="O11">
            <v>0</v>
          </cell>
          <cell r="P11">
            <v>0</v>
          </cell>
        </row>
        <row r="12">
          <cell r="A12">
            <v>10</v>
          </cell>
        </row>
        <row r="13">
          <cell r="A13">
            <v>11</v>
          </cell>
          <cell r="C13" t="str">
            <v>QTD Sales &amp; Delivery Volumes</v>
          </cell>
        </row>
        <row r="14">
          <cell r="A14">
            <v>12</v>
          </cell>
          <cell r="C14" t="str">
            <v>Electric Energy Delivery (gWh)</v>
          </cell>
          <cell r="E14">
            <v>3167.65982983</v>
          </cell>
          <cell r="F14">
            <v>5916.9344168200005</v>
          </cell>
          <cell r="G14">
            <v>8820.1229928200009</v>
          </cell>
          <cell r="H14">
            <v>2593.03422</v>
          </cell>
          <cell r="I14">
            <v>5304.2330760000004</v>
          </cell>
          <cell r="J14">
            <v>8467.6576080000013</v>
          </cell>
          <cell r="K14">
            <v>3211.3336720000002</v>
          </cell>
          <cell r="L14">
            <v>3211.3336720000002</v>
          </cell>
          <cell r="M14">
            <v>3211.3336720000002</v>
          </cell>
          <cell r="N14">
            <v>0</v>
          </cell>
          <cell r="O14">
            <v>0</v>
          </cell>
          <cell r="P14">
            <v>0</v>
          </cell>
        </row>
        <row r="15">
          <cell r="A15">
            <v>13</v>
          </cell>
          <cell r="C15" t="str">
            <v>Electric Energy Sales (gWh)</v>
          </cell>
          <cell r="E15">
            <v>2137.8675628300002</v>
          </cell>
          <cell r="F15">
            <v>4084.4234148200003</v>
          </cell>
          <cell r="G15">
            <v>6206.6277138200003</v>
          </cell>
          <cell r="H15">
            <v>1795.2801159999999</v>
          </cell>
          <cell r="I15">
            <v>3734.3721500000001</v>
          </cell>
          <cell r="J15">
            <v>6361.8508670000001</v>
          </cell>
          <cell r="K15">
            <v>2747.009086</v>
          </cell>
          <cell r="L15">
            <v>2747.009086</v>
          </cell>
          <cell r="M15">
            <v>2747.009086</v>
          </cell>
          <cell r="N15">
            <v>0</v>
          </cell>
          <cell r="O15">
            <v>0</v>
          </cell>
          <cell r="P15">
            <v>0</v>
          </cell>
        </row>
        <row r="16">
          <cell r="A16">
            <v>14</v>
          </cell>
          <cell r="C16" t="str">
            <v>Electric Load Retention</v>
          </cell>
          <cell r="E16">
            <v>0.67490440188608702</v>
          </cell>
          <cell r="F16">
            <v>0.69029384594989884</v>
          </cell>
          <cell r="G16">
            <v>0.70368947449740671</v>
          </cell>
          <cell r="H16">
            <v>0.69234725178443646</v>
          </cell>
          <cell r="I16">
            <v>0.70403620966372482</v>
          </cell>
          <cell r="J16">
            <v>0.75131177493401535</v>
          </cell>
          <cell r="K16">
            <v>0.85541066938994803</v>
          </cell>
          <cell r="L16">
            <v>0.85541066938994803</v>
          </cell>
          <cell r="M16">
            <v>0.85541066938994803</v>
          </cell>
          <cell r="N16" t="e">
            <v>#DIV/0!</v>
          </cell>
          <cell r="O16" t="e">
            <v>#DIV/0!</v>
          </cell>
          <cell r="P16" t="e">
            <v>#DIV/0!</v>
          </cell>
        </row>
        <row r="17">
          <cell r="A17">
            <v>15</v>
          </cell>
          <cell r="C17" t="str">
            <v>Energy Purchased (gWh)</v>
          </cell>
          <cell r="E17">
            <v>2320.5419999999999</v>
          </cell>
          <cell r="F17">
            <v>4440.3670000000002</v>
          </cell>
          <cell r="G17">
            <v>6730.3909999999996</v>
          </cell>
          <cell r="H17">
            <v>2014.867</v>
          </cell>
          <cell r="I17">
            <v>4319.6120000000001</v>
          </cell>
          <cell r="J17">
            <v>7175.3729999999996</v>
          </cell>
          <cell r="K17">
            <v>2975.1120000000001</v>
          </cell>
          <cell r="L17">
            <v>2975.1120000000001</v>
          </cell>
          <cell r="M17">
            <v>2975.1120000000001</v>
          </cell>
          <cell r="N17">
            <v>0</v>
          </cell>
          <cell r="O17">
            <v>0</v>
          </cell>
          <cell r="P17">
            <v>0</v>
          </cell>
        </row>
        <row r="18">
          <cell r="A18">
            <v>16</v>
          </cell>
          <cell r="C18" t="str">
            <v>Gas (BCF)</v>
          </cell>
          <cell r="E18">
            <v>11.112</v>
          </cell>
          <cell r="F18">
            <v>19.908000000000001</v>
          </cell>
          <cell r="G18">
            <v>28.270000000000003</v>
          </cell>
          <cell r="H18">
            <v>3.867</v>
          </cell>
          <cell r="I18">
            <v>5.7930000000000001</v>
          </cell>
          <cell r="J18">
            <v>7.1980000000000004</v>
          </cell>
          <cell r="K18">
            <v>1.3560000000000001</v>
          </cell>
          <cell r="L18">
            <v>1.3560000000000001</v>
          </cell>
          <cell r="M18">
            <v>1.3560000000000001</v>
          </cell>
          <cell r="N18">
            <v>0</v>
          </cell>
          <cell r="O18">
            <v>0</v>
          </cell>
          <cell r="P18">
            <v>0</v>
          </cell>
        </row>
        <row r="19">
          <cell r="A19">
            <v>17</v>
          </cell>
        </row>
        <row r="20">
          <cell r="A20">
            <v>18</v>
          </cell>
          <cell r="C20" t="str">
            <v>YTD Sales &amp; Delivery Volumes</v>
          </cell>
        </row>
        <row r="21">
          <cell r="A21">
            <v>19</v>
          </cell>
          <cell r="C21" t="str">
            <v>Electric Energy Delivery (gWh)</v>
          </cell>
          <cell r="E21">
            <v>3167.65982983</v>
          </cell>
          <cell r="F21">
            <v>5916.9344168200005</v>
          </cell>
          <cell r="G21">
            <v>8820.1229928200009</v>
          </cell>
          <cell r="H21">
            <v>11413.15721282</v>
          </cell>
          <cell r="I21">
            <v>14124.356068820001</v>
          </cell>
          <cell r="J21">
            <v>17287.780600820002</v>
          </cell>
          <cell r="K21">
            <v>20499.114272820003</v>
          </cell>
          <cell r="L21">
            <v>20499.114272820003</v>
          </cell>
          <cell r="M21">
            <v>20499.114272820003</v>
          </cell>
          <cell r="N21">
            <v>20499.114272820003</v>
          </cell>
          <cell r="O21">
            <v>20499.114272820003</v>
          </cell>
          <cell r="P21">
            <v>20499.114272820003</v>
          </cell>
        </row>
        <row r="22">
          <cell r="A22">
            <v>20</v>
          </cell>
          <cell r="C22" t="str">
            <v>Electric Energy Sales (gWh)</v>
          </cell>
          <cell r="E22">
            <v>2137.8675628300002</v>
          </cell>
          <cell r="F22">
            <v>4084.4234148200003</v>
          </cell>
          <cell r="G22">
            <v>6206.6277138200003</v>
          </cell>
          <cell r="H22">
            <v>8001.9078298200002</v>
          </cell>
          <cell r="I22">
            <v>9940.9998638199995</v>
          </cell>
          <cell r="J22">
            <v>12568.478580819999</v>
          </cell>
          <cell r="K22">
            <v>15315.48766682</v>
          </cell>
          <cell r="L22">
            <v>15315.48766682</v>
          </cell>
          <cell r="M22">
            <v>15315.48766682</v>
          </cell>
          <cell r="N22">
            <v>15315.48766682</v>
          </cell>
          <cell r="O22">
            <v>15315.48766682</v>
          </cell>
          <cell r="P22">
            <v>15315.48766682</v>
          </cell>
        </row>
        <row r="23">
          <cell r="A23">
            <v>21</v>
          </cell>
          <cell r="C23" t="str">
            <v>Electric Load Retention</v>
          </cell>
          <cell r="E23">
            <v>0.67490440188608702</v>
          </cell>
          <cell r="F23">
            <v>0.69029384594989884</v>
          </cell>
          <cell r="G23">
            <v>0.70368947449740671</v>
          </cell>
          <cell r="H23">
            <v>0.70111255637762848</v>
          </cell>
          <cell r="I23">
            <v>0.70381968674416928</v>
          </cell>
          <cell r="J23">
            <v>0.72701516007345934</v>
          </cell>
          <cell r="K23">
            <v>0.74712923997535685</v>
          </cell>
          <cell r="L23">
            <v>0.74712923997535685</v>
          </cell>
          <cell r="M23">
            <v>0.74712923997535685</v>
          </cell>
          <cell r="N23">
            <v>0.74712923997535685</v>
          </cell>
          <cell r="O23">
            <v>0.74712923997535685</v>
          </cell>
          <cell r="P23">
            <v>0.74712923997535685</v>
          </cell>
        </row>
        <row r="24">
          <cell r="A24">
            <v>22</v>
          </cell>
          <cell r="C24" t="str">
            <v>Energy Purchased (gWh)</v>
          </cell>
          <cell r="E24">
            <v>2320.5419999999999</v>
          </cell>
          <cell r="F24">
            <v>4440.3670000000002</v>
          </cell>
          <cell r="G24">
            <v>6730.3909999999996</v>
          </cell>
          <cell r="H24">
            <v>8745.2579999999998</v>
          </cell>
          <cell r="I24">
            <v>11050.003000000001</v>
          </cell>
          <cell r="J24">
            <v>13905.764000000001</v>
          </cell>
          <cell r="K24">
            <v>16880.876</v>
          </cell>
          <cell r="L24">
            <v>16880.876</v>
          </cell>
          <cell r="M24">
            <v>16880.876</v>
          </cell>
          <cell r="N24">
            <v>16880.876</v>
          </cell>
          <cell r="O24">
            <v>16880.876</v>
          </cell>
          <cell r="P24">
            <v>16880.876</v>
          </cell>
        </row>
        <row r="25">
          <cell r="A25">
            <v>23</v>
          </cell>
          <cell r="C25" t="str">
            <v>Gas (BCF)</v>
          </cell>
          <cell r="E25">
            <v>11.112</v>
          </cell>
          <cell r="F25">
            <v>19.908000000000001</v>
          </cell>
          <cell r="G25">
            <v>28.270000000000003</v>
          </cell>
          <cell r="H25">
            <v>32.137</v>
          </cell>
          <cell r="I25">
            <v>34.063000000000002</v>
          </cell>
          <cell r="J25">
            <v>35.468000000000004</v>
          </cell>
          <cell r="K25">
            <v>36.824000000000005</v>
          </cell>
          <cell r="L25">
            <v>36.824000000000005</v>
          </cell>
          <cell r="M25">
            <v>36.824000000000005</v>
          </cell>
          <cell r="N25">
            <v>36.824000000000005</v>
          </cell>
          <cell r="O25">
            <v>36.824000000000005</v>
          </cell>
          <cell r="P25">
            <v>36.824000000000005</v>
          </cell>
        </row>
        <row r="26">
          <cell r="A26">
            <v>24</v>
          </cell>
        </row>
        <row r="27">
          <cell r="A27">
            <v>25</v>
          </cell>
          <cell r="C27" t="str">
            <v>Monthly</v>
          </cell>
        </row>
        <row r="28">
          <cell r="A28">
            <v>26</v>
          </cell>
          <cell r="C28" t="str">
            <v>Revenue</v>
          </cell>
          <cell r="E28">
            <v>378.61627700000003</v>
          </cell>
          <cell r="F28">
            <v>312.29888757999998</v>
          </cell>
          <cell r="G28">
            <v>360.18375438999999</v>
          </cell>
          <cell r="H28">
            <v>288.07063385000004</v>
          </cell>
          <cell r="I28">
            <v>272.54417445000001</v>
          </cell>
          <cell r="J28">
            <v>345.22421689000004</v>
          </cell>
          <cell r="K28">
            <v>350.52837612000002</v>
          </cell>
          <cell r="L28">
            <v>0</v>
          </cell>
          <cell r="M28">
            <v>0</v>
          </cell>
          <cell r="N28">
            <v>0</v>
          </cell>
          <cell r="O28">
            <v>0</v>
          </cell>
          <cell r="P28">
            <v>0</v>
          </cell>
        </row>
        <row r="29">
          <cell r="A29">
            <v>27</v>
          </cell>
          <cell r="C29" t="str">
            <v>Purchased Power/Fuel/GRT</v>
          </cell>
          <cell r="E29">
            <v>188.86915300000001</v>
          </cell>
          <cell r="F29">
            <v>153.02331660999999</v>
          </cell>
          <cell r="G29">
            <v>176.60595024999998</v>
          </cell>
          <cell r="H29">
            <v>132.97921802000002</v>
          </cell>
          <cell r="I29">
            <v>127.26990332000001</v>
          </cell>
          <cell r="J29">
            <v>157.29501578</v>
          </cell>
          <cell r="K29">
            <v>173.24987913999999</v>
          </cell>
          <cell r="L29">
            <v>0</v>
          </cell>
          <cell r="M29">
            <v>0</v>
          </cell>
          <cell r="N29">
            <v>0</v>
          </cell>
          <cell r="O29">
            <v>0</v>
          </cell>
          <cell r="P29">
            <v>0</v>
          </cell>
        </row>
        <row r="30">
          <cell r="A30">
            <v>28</v>
          </cell>
          <cell r="C30" t="str">
            <v>Direct Expenses</v>
          </cell>
          <cell r="E30">
            <v>8.5245630000000006</v>
          </cell>
          <cell r="F30">
            <v>13.052483639999998</v>
          </cell>
          <cell r="G30">
            <v>14.5440594</v>
          </cell>
          <cell r="H30">
            <v>6.2017335400000011</v>
          </cell>
          <cell r="I30">
            <v>11.12986944</v>
          </cell>
          <cell r="J30">
            <v>12.878882450000001</v>
          </cell>
          <cell r="K30">
            <v>12.5774592</v>
          </cell>
          <cell r="L30">
            <v>0</v>
          </cell>
          <cell r="M30">
            <v>0</v>
          </cell>
          <cell r="N30">
            <v>0</v>
          </cell>
          <cell r="O30">
            <v>0</v>
          </cell>
          <cell r="P30">
            <v>0</v>
          </cell>
        </row>
        <row r="31">
          <cell r="A31">
            <v>29</v>
          </cell>
          <cell r="C31" t="str">
            <v>Indirect Expenses</v>
          </cell>
          <cell r="E31">
            <v>20.913808</v>
          </cell>
          <cell r="F31">
            <v>17.12196754</v>
          </cell>
          <cell r="G31">
            <v>23.73291764</v>
          </cell>
          <cell r="H31">
            <v>14.1111171</v>
          </cell>
          <cell r="I31">
            <v>15.409053119999999</v>
          </cell>
          <cell r="J31">
            <v>25.807496230000002</v>
          </cell>
          <cell r="K31">
            <v>21.495436129999998</v>
          </cell>
          <cell r="L31">
            <v>0</v>
          </cell>
          <cell r="M31">
            <v>0</v>
          </cell>
          <cell r="N31">
            <v>0</v>
          </cell>
          <cell r="O31">
            <v>0</v>
          </cell>
          <cell r="P31">
            <v>0</v>
          </cell>
        </row>
        <row r="32">
          <cell r="A32">
            <v>30</v>
          </cell>
          <cell r="C32" t="str">
            <v>SG &amp;A</v>
          </cell>
          <cell r="E32">
            <v>7.2018141199999999</v>
          </cell>
          <cell r="F32">
            <v>11.266820940000001</v>
          </cell>
          <cell r="G32">
            <v>-2.4539009400000014</v>
          </cell>
          <cell r="H32">
            <v>16.404041540000001</v>
          </cell>
          <cell r="I32">
            <v>-1.3745437100000002</v>
          </cell>
          <cell r="J32">
            <v>11.750176699999999</v>
          </cell>
          <cell r="K32">
            <v>8.4999723300000003</v>
          </cell>
          <cell r="L32">
            <v>0</v>
          </cell>
          <cell r="M32">
            <v>0</v>
          </cell>
          <cell r="N32">
            <v>0</v>
          </cell>
          <cell r="O32">
            <v>0</v>
          </cell>
          <cell r="P32">
            <v>0</v>
          </cell>
        </row>
        <row r="33">
          <cell r="A33">
            <v>31</v>
          </cell>
          <cell r="C33" t="str">
            <v>BSC</v>
          </cell>
          <cell r="E33">
            <v>2.1551342400000002</v>
          </cell>
          <cell r="F33">
            <v>2.8575008099999999</v>
          </cell>
          <cell r="G33">
            <v>2.6501862000000003</v>
          </cell>
          <cell r="H33">
            <v>3.43668861</v>
          </cell>
          <cell r="I33">
            <v>3.2212818900000002</v>
          </cell>
          <cell r="J33">
            <v>3.2003910499999999</v>
          </cell>
          <cell r="K33">
            <v>2.5454918900000001</v>
          </cell>
          <cell r="L33">
            <v>0</v>
          </cell>
          <cell r="M33">
            <v>0</v>
          </cell>
          <cell r="N33">
            <v>0</v>
          </cell>
          <cell r="O33">
            <v>0</v>
          </cell>
          <cell r="P33">
            <v>0</v>
          </cell>
        </row>
        <row r="34">
          <cell r="A34">
            <v>32</v>
          </cell>
          <cell r="C34" t="str">
            <v>Corp Center Allocation</v>
          </cell>
          <cell r="E34">
            <v>0</v>
          </cell>
          <cell r="F34">
            <v>4.8</v>
          </cell>
          <cell r="G34">
            <v>5.5939363799999997</v>
          </cell>
          <cell r="H34">
            <v>-1.3815286</v>
          </cell>
          <cell r="I34">
            <v>2.54281516</v>
          </cell>
          <cell r="J34">
            <v>2.7044277999999999</v>
          </cell>
          <cell r="K34">
            <v>2.1644528100000002</v>
          </cell>
          <cell r="L34">
            <v>0</v>
          </cell>
          <cell r="M34">
            <v>0</v>
          </cell>
          <cell r="N34">
            <v>0</v>
          </cell>
          <cell r="O34">
            <v>0</v>
          </cell>
          <cell r="P34">
            <v>0</v>
          </cell>
        </row>
        <row r="35">
          <cell r="A35">
            <v>33</v>
          </cell>
          <cell r="C35" t="str">
            <v>Earnings from Invest.Equity(enter income as neg)</v>
          </cell>
          <cell r="E35">
            <v>2.4964600000008941E-3</v>
          </cell>
          <cell r="F35">
            <v>2.2439999999999999E-3</v>
          </cell>
          <cell r="G35">
            <v>-6.7981199999999995E-3</v>
          </cell>
          <cell r="H35">
            <v>-1.6456999999999999E-2</v>
          </cell>
          <cell r="I35">
            <v>1.4324E-2</v>
          </cell>
          <cell r="J35">
            <v>-8.8739999999999999E-3</v>
          </cell>
          <cell r="K35">
            <v>-4.3573000000000001E-2</v>
          </cell>
          <cell r="L35">
            <v>0</v>
          </cell>
          <cell r="M35">
            <v>0</v>
          </cell>
          <cell r="N35">
            <v>0</v>
          </cell>
          <cell r="O35">
            <v>0</v>
          </cell>
          <cell r="P35">
            <v>0</v>
          </cell>
        </row>
        <row r="36">
          <cell r="A36">
            <v>34</v>
          </cell>
          <cell r="C36" t="str">
            <v>Loss/(Gain) on Assets Disposal</v>
          </cell>
          <cell r="E36">
            <v>-0.6429954200000001</v>
          </cell>
          <cell r="F36">
            <v>0</v>
          </cell>
          <cell r="G36">
            <v>5.2929399999999995E-3</v>
          </cell>
          <cell r="H36">
            <v>-3.0000000000000001E-6</v>
          </cell>
          <cell r="I36">
            <v>0.78996481000000007</v>
          </cell>
          <cell r="J36">
            <v>0</v>
          </cell>
          <cell r="K36">
            <v>-1.1589E-3</v>
          </cell>
          <cell r="L36">
            <v>0</v>
          </cell>
          <cell r="M36">
            <v>0</v>
          </cell>
          <cell r="N36">
            <v>0</v>
          </cell>
          <cell r="O36">
            <v>0</v>
          </cell>
          <cell r="P36">
            <v>0</v>
          </cell>
        </row>
        <row r="37">
          <cell r="A37">
            <v>35</v>
          </cell>
          <cell r="C37" t="str">
            <v>Other Operating Expenses</v>
          </cell>
          <cell r="E37">
            <v>-9.1986281500000011</v>
          </cell>
          <cell r="F37">
            <v>4.5211499999999998E-3</v>
          </cell>
          <cell r="G37">
            <v>8.4014199999999997E-3</v>
          </cell>
          <cell r="H37">
            <v>-2.1752560000000001E-2</v>
          </cell>
          <cell r="I37">
            <v>-1.1751540000000001E-2</v>
          </cell>
          <cell r="J37">
            <v>3.1702849999999998E-2</v>
          </cell>
          <cell r="K37">
            <v>-4.9916389999999998E-2</v>
          </cell>
          <cell r="L37">
            <v>0</v>
          </cell>
          <cell r="M37">
            <v>0</v>
          </cell>
          <cell r="N37">
            <v>0</v>
          </cell>
          <cell r="O37">
            <v>0</v>
          </cell>
          <cell r="P37">
            <v>0</v>
          </cell>
        </row>
        <row r="38">
          <cell r="A38">
            <v>36</v>
          </cell>
          <cell r="C38" t="str">
            <v>TOTI</v>
          </cell>
          <cell r="E38">
            <v>4.0493737999999997</v>
          </cell>
          <cell r="F38">
            <v>5.0959441700000001</v>
          </cell>
          <cell r="G38">
            <v>3.9019457499999999</v>
          </cell>
          <cell r="H38">
            <v>9.2710387699999988</v>
          </cell>
          <cell r="I38">
            <v>3.4664200800000002</v>
          </cell>
          <cell r="J38">
            <v>4.0505215899999998</v>
          </cell>
          <cell r="K38">
            <v>-6.0026152899999996</v>
          </cell>
          <cell r="L38">
            <v>0</v>
          </cell>
          <cell r="M38">
            <v>0</v>
          </cell>
          <cell r="N38">
            <v>0</v>
          </cell>
          <cell r="O38">
            <v>0</v>
          </cell>
          <cell r="P38">
            <v>0</v>
          </cell>
        </row>
        <row r="39">
          <cell r="A39">
            <v>37</v>
          </cell>
          <cell r="C39" t="str">
            <v>Total O&amp;M, Other</v>
          </cell>
          <cell r="E39">
            <v>33.005566050000006</v>
          </cell>
          <cell r="F39">
            <v>54.201482249999998</v>
          </cell>
          <cell r="G39">
            <v>47.976040669999996</v>
          </cell>
          <cell r="H39">
            <v>48.004878399999988</v>
          </cell>
          <cell r="I39">
            <v>35.187433249999998</v>
          </cell>
          <cell r="J39">
            <v>60.414724670000005</v>
          </cell>
          <cell r="K39">
            <v>41.185548779999991</v>
          </cell>
          <cell r="L39">
            <v>0</v>
          </cell>
          <cell r="M39">
            <v>0</v>
          </cell>
          <cell r="N39">
            <v>0</v>
          </cell>
          <cell r="O39">
            <v>0</v>
          </cell>
          <cell r="P39">
            <v>0</v>
          </cell>
        </row>
        <row r="40">
          <cell r="A40">
            <v>38</v>
          </cell>
          <cell r="C40" t="str">
            <v>D&amp;A</v>
          </cell>
          <cell r="E40">
            <v>34.461494000000002</v>
          </cell>
          <cell r="F40">
            <v>33.0189181</v>
          </cell>
          <cell r="G40">
            <v>33.669646479999997</v>
          </cell>
          <cell r="H40">
            <v>30.61850943</v>
          </cell>
          <cell r="I40">
            <v>31.659099019999999</v>
          </cell>
          <cell r="J40">
            <v>36.240553500000004</v>
          </cell>
          <cell r="K40">
            <v>40.223600860000005</v>
          </cell>
          <cell r="L40">
            <v>0</v>
          </cell>
          <cell r="M40">
            <v>0</v>
          </cell>
          <cell r="N40">
            <v>0</v>
          </cell>
          <cell r="O40">
            <v>0</v>
          </cell>
          <cell r="P40">
            <v>0</v>
          </cell>
        </row>
        <row r="41">
          <cell r="A41">
            <v>39</v>
          </cell>
          <cell r="C41" t="str">
            <v>Interest Expense</v>
          </cell>
          <cell r="E41">
            <v>38.098998999999999</v>
          </cell>
          <cell r="F41">
            <v>38.168735410000004</v>
          </cell>
          <cell r="G41">
            <v>30.901196099999996</v>
          </cell>
          <cell r="H41">
            <v>41.269553130000006</v>
          </cell>
          <cell r="I41">
            <v>36.980243019999996</v>
          </cell>
          <cell r="J41">
            <v>38.028928350000001</v>
          </cell>
          <cell r="K41">
            <v>21.647839180000002</v>
          </cell>
          <cell r="L41">
            <v>0</v>
          </cell>
          <cell r="M41">
            <v>0</v>
          </cell>
          <cell r="N41">
            <v>0</v>
          </cell>
          <cell r="O41">
            <v>0</v>
          </cell>
          <cell r="P41">
            <v>0</v>
          </cell>
        </row>
        <row r="42">
          <cell r="A42">
            <v>40</v>
          </cell>
          <cell r="C42" t="str">
            <v>Taxes</v>
          </cell>
          <cell r="E42">
            <v>-0.37688899999999997</v>
          </cell>
          <cell r="F42">
            <v>47.753231490000005</v>
          </cell>
          <cell r="G42">
            <v>19.826177560000001</v>
          </cell>
          <cell r="H42">
            <v>10.472614</v>
          </cell>
          <cell r="I42">
            <v>15.907632</v>
          </cell>
          <cell r="J42">
            <v>18.74708</v>
          </cell>
          <cell r="K42">
            <v>27.431635</v>
          </cell>
          <cell r="L42">
            <v>0</v>
          </cell>
          <cell r="M42">
            <v>0</v>
          </cell>
          <cell r="N42">
            <v>0</v>
          </cell>
          <cell r="O42">
            <v>0</v>
          </cell>
          <cell r="P42">
            <v>0</v>
          </cell>
        </row>
        <row r="43">
          <cell r="A43">
            <v>41</v>
          </cell>
          <cell r="C43" t="str">
            <v>Preferred Stock Dividends</v>
          </cell>
          <cell r="E43">
            <v>0.80875600000000003</v>
          </cell>
          <cell r="F43">
            <v>0.80875600000000003</v>
          </cell>
          <cell r="G43">
            <v>0.80875600000000003</v>
          </cell>
          <cell r="H43">
            <v>0.80875532999999999</v>
          </cell>
          <cell r="I43">
            <v>0.80875600000000003</v>
          </cell>
          <cell r="J43">
            <v>0.80875600000000003</v>
          </cell>
          <cell r="K43">
            <v>5.6612906600000006</v>
          </cell>
          <cell r="L43">
            <v>0</v>
          </cell>
          <cell r="M43">
            <v>0</v>
          </cell>
          <cell r="N43">
            <v>0</v>
          </cell>
          <cell r="O43">
            <v>0</v>
          </cell>
          <cell r="P43">
            <v>0</v>
          </cell>
        </row>
        <row r="44">
          <cell r="A44">
            <v>42</v>
          </cell>
          <cell r="C44" t="str">
            <v>Net Income</v>
          </cell>
          <cell r="E44">
            <v>83.74919795000001</v>
          </cell>
          <cell r="F44">
            <v>-14.675552280000025</v>
          </cell>
          <cell r="G44">
            <v>50.395987329999983</v>
          </cell>
          <cell r="H44">
            <v>23.917105539999984</v>
          </cell>
          <cell r="I44">
            <v>24.731107839999996</v>
          </cell>
          <cell r="J44">
            <v>33.689158590000005</v>
          </cell>
          <cell r="K44">
            <v>41.128582500000014</v>
          </cell>
          <cell r="L44">
            <v>0</v>
          </cell>
          <cell r="M44">
            <v>0</v>
          </cell>
          <cell r="N44">
            <v>0</v>
          </cell>
          <cell r="O44">
            <v>0</v>
          </cell>
          <cell r="P44">
            <v>0</v>
          </cell>
        </row>
        <row r="45">
          <cell r="A45">
            <v>43</v>
          </cell>
          <cell r="C45" t="str">
            <v>EPS</v>
          </cell>
          <cell r="E45">
            <v>0.26336225770440252</v>
          </cell>
          <cell r="F45">
            <v>-4.6149535471698193E-2</v>
          </cell>
          <cell r="G45">
            <v>0.1584779475786163</v>
          </cell>
          <cell r="H45">
            <v>7.5211023710691771E-2</v>
          </cell>
          <cell r="I45">
            <v>7.7770779371069174E-2</v>
          </cell>
          <cell r="J45">
            <v>0.10594075028301889</v>
          </cell>
          <cell r="K45">
            <v>0.12933516509433968</v>
          </cell>
          <cell r="L45">
            <v>0</v>
          </cell>
          <cell r="M45">
            <v>0</v>
          </cell>
          <cell r="N45">
            <v>0</v>
          </cell>
          <cell r="O45">
            <v>0</v>
          </cell>
          <cell r="P45">
            <v>0</v>
          </cell>
        </row>
        <row r="46">
          <cell r="A46">
            <v>44</v>
          </cell>
        </row>
        <row r="47">
          <cell r="A47">
            <v>45</v>
          </cell>
          <cell r="C47" t="str">
            <v>QTD</v>
          </cell>
        </row>
        <row r="48">
          <cell r="A48">
            <v>46</v>
          </cell>
          <cell r="C48" t="str">
            <v>Revenue</v>
          </cell>
          <cell r="E48">
            <v>378.61627700000003</v>
          </cell>
          <cell r="F48">
            <v>690.91516458000001</v>
          </cell>
          <cell r="G48">
            <v>1051.0989189700001</v>
          </cell>
          <cell r="H48">
            <v>288.07063385000004</v>
          </cell>
          <cell r="I48">
            <v>560.61480829999994</v>
          </cell>
          <cell r="J48">
            <v>905.83902519000014</v>
          </cell>
          <cell r="K48">
            <v>350.52837612000002</v>
          </cell>
          <cell r="L48">
            <v>0</v>
          </cell>
          <cell r="M48">
            <v>0</v>
          </cell>
          <cell r="N48">
            <v>0</v>
          </cell>
          <cell r="O48">
            <v>0</v>
          </cell>
          <cell r="P48">
            <v>0</v>
          </cell>
        </row>
        <row r="49">
          <cell r="A49">
            <v>47</v>
          </cell>
          <cell r="C49" t="str">
            <v>Purchased Power and Fuel</v>
          </cell>
          <cell r="E49">
            <v>188.86915300000001</v>
          </cell>
          <cell r="F49">
            <v>341.89246961000003</v>
          </cell>
          <cell r="G49">
            <v>518.49841986000001</v>
          </cell>
          <cell r="H49">
            <v>132.97921802000002</v>
          </cell>
          <cell r="I49">
            <v>260.24912134000004</v>
          </cell>
          <cell r="J49">
            <v>417.54413712000002</v>
          </cell>
          <cell r="K49">
            <v>173.24987913999999</v>
          </cell>
          <cell r="L49">
            <v>0</v>
          </cell>
          <cell r="M49">
            <v>0</v>
          </cell>
          <cell r="N49">
            <v>0</v>
          </cell>
          <cell r="O49">
            <v>0</v>
          </cell>
          <cell r="P49">
            <v>0</v>
          </cell>
        </row>
        <row r="50">
          <cell r="A50">
            <v>48</v>
          </cell>
          <cell r="C50" t="str">
            <v>Direct Expenses</v>
          </cell>
          <cell r="E50">
            <v>8.5245630000000006</v>
          </cell>
          <cell r="F50">
            <v>21.577046639999999</v>
          </cell>
          <cell r="G50">
            <v>36.121106040000001</v>
          </cell>
          <cell r="H50">
            <v>6.2017335400000011</v>
          </cell>
          <cell r="I50">
            <v>17.33160298</v>
          </cell>
          <cell r="J50">
            <v>30.210485430000002</v>
          </cell>
          <cell r="K50">
            <v>12.5774592</v>
          </cell>
          <cell r="L50">
            <v>0</v>
          </cell>
          <cell r="M50">
            <v>0</v>
          </cell>
          <cell r="N50">
            <v>0</v>
          </cell>
          <cell r="O50">
            <v>0</v>
          </cell>
          <cell r="P50">
            <v>0</v>
          </cell>
        </row>
        <row r="51">
          <cell r="A51">
            <v>49</v>
          </cell>
          <cell r="C51" t="str">
            <v>Indirect Expenses</v>
          </cell>
          <cell r="E51">
            <v>20.913808</v>
          </cell>
          <cell r="F51">
            <v>38.035775540000003</v>
          </cell>
          <cell r="G51">
            <v>61.76869318</v>
          </cell>
          <cell r="H51">
            <v>14.1111171</v>
          </cell>
          <cell r="I51">
            <v>29.520170219999997</v>
          </cell>
          <cell r="J51">
            <v>55.327666449999995</v>
          </cell>
          <cell r="K51">
            <v>21.495436129999998</v>
          </cell>
          <cell r="L51">
            <v>0</v>
          </cell>
          <cell r="M51">
            <v>0</v>
          </cell>
          <cell r="N51">
            <v>0</v>
          </cell>
          <cell r="O51">
            <v>0</v>
          </cell>
          <cell r="P51">
            <v>0</v>
          </cell>
        </row>
        <row r="52">
          <cell r="A52">
            <v>50</v>
          </cell>
          <cell r="C52" t="str">
            <v>SG &amp;A</v>
          </cell>
          <cell r="E52">
            <v>7.2018141199999999</v>
          </cell>
          <cell r="F52">
            <v>18.46863506</v>
          </cell>
          <cell r="G52">
            <v>16.01473412</v>
          </cell>
          <cell r="H52">
            <v>16.404041540000001</v>
          </cell>
          <cell r="I52">
            <v>15.02949783</v>
          </cell>
          <cell r="J52">
            <v>26.779674530000001</v>
          </cell>
          <cell r="K52">
            <v>8.4999723300000003</v>
          </cell>
          <cell r="L52">
            <v>0</v>
          </cell>
          <cell r="M52">
            <v>0</v>
          </cell>
          <cell r="N52">
            <v>0</v>
          </cell>
          <cell r="O52">
            <v>0</v>
          </cell>
          <cell r="P52">
            <v>0</v>
          </cell>
        </row>
        <row r="53">
          <cell r="A53">
            <v>51</v>
          </cell>
          <cell r="C53" t="str">
            <v>BSC</v>
          </cell>
          <cell r="E53">
            <v>2.1551342400000002</v>
          </cell>
          <cell r="F53">
            <v>5.0126350500000001</v>
          </cell>
          <cell r="G53">
            <v>7.6628212500000004</v>
          </cell>
          <cell r="H53">
            <v>3.43668861</v>
          </cell>
          <cell r="I53">
            <v>6.6579705000000002</v>
          </cell>
          <cell r="J53">
            <v>9.8583615499999997</v>
          </cell>
          <cell r="K53">
            <v>2.5454918900000001</v>
          </cell>
          <cell r="L53">
            <v>0</v>
          </cell>
          <cell r="M53">
            <v>0</v>
          </cell>
          <cell r="N53">
            <v>0</v>
          </cell>
          <cell r="O53">
            <v>0</v>
          </cell>
          <cell r="P53">
            <v>0</v>
          </cell>
        </row>
        <row r="54">
          <cell r="A54">
            <v>52</v>
          </cell>
          <cell r="C54" t="str">
            <v>Corp Center Allocation</v>
          </cell>
          <cell r="E54">
            <v>0</v>
          </cell>
          <cell r="F54">
            <v>4.8</v>
          </cell>
          <cell r="G54">
            <v>10.39393638</v>
          </cell>
          <cell r="H54">
            <v>-1.3815286</v>
          </cell>
          <cell r="I54">
            <v>1.16128656</v>
          </cell>
          <cell r="J54">
            <v>3.8657143600000001</v>
          </cell>
          <cell r="K54">
            <v>2.1644528100000002</v>
          </cell>
          <cell r="L54">
            <v>0</v>
          </cell>
          <cell r="M54">
            <v>0</v>
          </cell>
          <cell r="N54">
            <v>0</v>
          </cell>
          <cell r="O54">
            <v>0</v>
          </cell>
          <cell r="P54">
            <v>0</v>
          </cell>
        </row>
        <row r="55">
          <cell r="A55">
            <v>53</v>
          </cell>
          <cell r="C55" t="str">
            <v>Earnings from Invest.Equity(enter income as neg)</v>
          </cell>
          <cell r="E55">
            <v>2.4964600000008941E-3</v>
          </cell>
          <cell r="F55">
            <v>4.7404600000008935E-3</v>
          </cell>
          <cell r="G55">
            <v>-2.057659999999106E-3</v>
          </cell>
          <cell r="H55">
            <v>-1.6456999999999999E-2</v>
          </cell>
          <cell r="I55">
            <v>-2.1329999999999995E-3</v>
          </cell>
          <cell r="J55">
            <v>-1.1006999999999999E-2</v>
          </cell>
          <cell r="K55">
            <v>-4.3573000000000001E-2</v>
          </cell>
          <cell r="L55">
            <v>0</v>
          </cell>
          <cell r="M55">
            <v>0</v>
          </cell>
          <cell r="N55">
            <v>0</v>
          </cell>
          <cell r="O55">
            <v>0</v>
          </cell>
          <cell r="P55">
            <v>0</v>
          </cell>
        </row>
        <row r="56">
          <cell r="A56">
            <v>54</v>
          </cell>
          <cell r="C56" t="str">
            <v>Loss/(Gain) on Assets Disposal</v>
          </cell>
          <cell r="E56">
            <v>-0.6429954200000001</v>
          </cell>
          <cell r="F56">
            <v>-0.6429954200000001</v>
          </cell>
          <cell r="G56">
            <v>-0.63770248000000007</v>
          </cell>
          <cell r="H56">
            <v>-3.0000000000000001E-6</v>
          </cell>
          <cell r="I56">
            <v>0.7899618100000001</v>
          </cell>
          <cell r="J56">
            <v>0.7899618100000001</v>
          </cell>
          <cell r="K56">
            <v>-1.1589E-3</v>
          </cell>
          <cell r="L56">
            <v>0</v>
          </cell>
          <cell r="M56">
            <v>0</v>
          </cell>
          <cell r="N56">
            <v>0</v>
          </cell>
          <cell r="O56">
            <v>0</v>
          </cell>
          <cell r="P56">
            <v>0</v>
          </cell>
        </row>
        <row r="57">
          <cell r="A57">
            <v>55</v>
          </cell>
          <cell r="C57" t="str">
            <v>Other Operating Expenses</v>
          </cell>
          <cell r="E57">
            <v>-9.1986281500000011</v>
          </cell>
          <cell r="F57">
            <v>-9.1941070000000007</v>
          </cell>
          <cell r="G57">
            <v>-9.1857055800000005</v>
          </cell>
          <cell r="H57">
            <v>-2.1752560000000001E-2</v>
          </cell>
          <cell r="I57">
            <v>-3.3504100000000002E-2</v>
          </cell>
          <cell r="J57">
            <v>-1.8012500000000042E-3</v>
          </cell>
          <cell r="K57">
            <v>-4.9916389999999998E-2</v>
          </cell>
          <cell r="L57">
            <v>0</v>
          </cell>
          <cell r="M57">
            <v>0</v>
          </cell>
          <cell r="N57">
            <v>0</v>
          </cell>
          <cell r="O57">
            <v>0</v>
          </cell>
          <cell r="P57">
            <v>0</v>
          </cell>
        </row>
        <row r="58">
          <cell r="A58">
            <v>56</v>
          </cell>
          <cell r="C58" t="str">
            <v>TOTI</v>
          </cell>
          <cell r="E58">
            <v>4.0493737999999997</v>
          </cell>
          <cell r="F58">
            <v>9.1453179700000007</v>
          </cell>
          <cell r="G58">
            <v>13.04726372</v>
          </cell>
          <cell r="H58">
            <v>9.2710387699999988</v>
          </cell>
          <cell r="I58">
            <v>12.737458849999999</v>
          </cell>
          <cell r="J58">
            <v>16.787980439999998</v>
          </cell>
          <cell r="K58">
            <v>-6.0026152899999996</v>
          </cell>
          <cell r="L58">
            <v>0</v>
          </cell>
          <cell r="M58">
            <v>0</v>
          </cell>
          <cell r="N58">
            <v>0</v>
          </cell>
          <cell r="O58">
            <v>0</v>
          </cell>
          <cell r="P58">
            <v>0</v>
          </cell>
        </row>
        <row r="59">
          <cell r="A59">
            <v>57</v>
          </cell>
          <cell r="C59" t="str">
            <v>Total O&amp;M, Other</v>
          </cell>
          <cell r="E59">
            <v>33.005566050000006</v>
          </cell>
          <cell r="F59">
            <v>87.207048299999997</v>
          </cell>
          <cell r="G59">
            <v>135.18308897</v>
          </cell>
          <cell r="H59">
            <v>48.004878399999988</v>
          </cell>
          <cell r="I59">
            <v>83.192311649999979</v>
          </cell>
          <cell r="J59">
            <v>143.60703631999999</v>
          </cell>
          <cell r="K59">
            <v>41.185548779999991</v>
          </cell>
          <cell r="L59">
            <v>0</v>
          </cell>
          <cell r="M59">
            <v>0</v>
          </cell>
          <cell r="N59">
            <v>0</v>
          </cell>
          <cell r="O59">
            <v>0</v>
          </cell>
          <cell r="P59">
            <v>0</v>
          </cell>
        </row>
        <row r="60">
          <cell r="A60">
            <v>58</v>
          </cell>
          <cell r="C60" t="str">
            <v>D&amp;A</v>
          </cell>
          <cell r="E60">
            <v>34.461494000000002</v>
          </cell>
          <cell r="F60">
            <v>67.480412099999995</v>
          </cell>
          <cell r="G60">
            <v>101.15005858000001</v>
          </cell>
          <cell r="H60">
            <v>30.61850943</v>
          </cell>
          <cell r="I60">
            <v>62.277608449999995</v>
          </cell>
          <cell r="J60">
            <v>98.518161949999993</v>
          </cell>
          <cell r="K60">
            <v>40.223600860000005</v>
          </cell>
          <cell r="L60">
            <v>0</v>
          </cell>
          <cell r="M60">
            <v>0</v>
          </cell>
          <cell r="N60">
            <v>0</v>
          </cell>
          <cell r="O60">
            <v>0</v>
          </cell>
          <cell r="P60">
            <v>0</v>
          </cell>
        </row>
        <row r="61">
          <cell r="A61">
            <v>59</v>
          </cell>
          <cell r="C61" t="str">
            <v>Net Income</v>
          </cell>
          <cell r="E61">
            <v>83.74919795000001</v>
          </cell>
          <cell r="F61">
            <v>69.073645669999962</v>
          </cell>
          <cell r="G61">
            <v>119.46963300000013</v>
          </cell>
          <cell r="H61">
            <v>23.917105539999984</v>
          </cell>
          <cell r="I61">
            <v>48.648213379999873</v>
          </cell>
          <cell r="J61">
            <v>82.337371970000177</v>
          </cell>
          <cell r="K61">
            <v>41.128582500000014</v>
          </cell>
          <cell r="L61">
            <v>0</v>
          </cell>
          <cell r="M61">
            <v>0</v>
          </cell>
          <cell r="N61">
            <v>0</v>
          </cell>
          <cell r="O61">
            <v>0</v>
          </cell>
          <cell r="P61">
            <v>0</v>
          </cell>
        </row>
        <row r="62">
          <cell r="A62">
            <v>60</v>
          </cell>
          <cell r="C62" t="str">
            <v>EPS</v>
          </cell>
          <cell r="E62">
            <v>0.26336225770440252</v>
          </cell>
          <cell r="F62">
            <v>0.2172127222327043</v>
          </cell>
          <cell r="G62">
            <v>0.37569066981132115</v>
          </cell>
          <cell r="H62">
            <v>7.5211023710691771E-2</v>
          </cell>
          <cell r="I62">
            <v>0.1529818030817606</v>
          </cell>
          <cell r="J62">
            <v>0.25892255336478043</v>
          </cell>
          <cell r="K62">
            <v>0.12933516509433968</v>
          </cell>
          <cell r="L62">
            <v>0</v>
          </cell>
          <cell r="M62">
            <v>0</v>
          </cell>
          <cell r="N62">
            <v>0</v>
          </cell>
          <cell r="O62">
            <v>0</v>
          </cell>
          <cell r="P62">
            <v>0</v>
          </cell>
        </row>
        <row r="63">
          <cell r="A63">
            <v>61</v>
          </cell>
        </row>
        <row r="64">
          <cell r="A64">
            <v>62</v>
          </cell>
          <cell r="C64" t="str">
            <v>YTD</v>
          </cell>
          <cell r="E64">
            <v>1</v>
          </cell>
          <cell r="F64">
            <v>2</v>
          </cell>
          <cell r="G64">
            <v>3</v>
          </cell>
          <cell r="H64">
            <v>4</v>
          </cell>
          <cell r="I64">
            <v>5</v>
          </cell>
          <cell r="J64">
            <v>6</v>
          </cell>
          <cell r="K64">
            <v>7</v>
          </cell>
          <cell r="L64">
            <v>8</v>
          </cell>
          <cell r="M64">
            <v>9</v>
          </cell>
          <cell r="N64">
            <v>10</v>
          </cell>
          <cell r="O64">
            <v>11</v>
          </cell>
          <cell r="P64">
            <v>12</v>
          </cell>
        </row>
        <row r="65">
          <cell r="A65">
            <v>63</v>
          </cell>
          <cell r="C65" t="str">
            <v>Revenue</v>
          </cell>
          <cell r="E65">
            <v>378.61627793000002</v>
          </cell>
          <cell r="F65">
            <v>690.91516551000007</v>
          </cell>
          <cell r="G65">
            <v>1051.0989199000001</v>
          </cell>
          <cell r="H65">
            <v>1339.16955375</v>
          </cell>
          <cell r="I65">
            <v>1611.7137282000001</v>
          </cell>
          <cell r="J65">
            <v>1956.9379450900001</v>
          </cell>
          <cell r="K65">
            <v>2307.4663212100004</v>
          </cell>
          <cell r="L65">
            <v>0</v>
          </cell>
          <cell r="M65">
            <v>0</v>
          </cell>
          <cell r="N65">
            <v>0</v>
          </cell>
          <cell r="O65">
            <v>0</v>
          </cell>
          <cell r="P65">
            <v>0</v>
          </cell>
        </row>
        <row r="66">
          <cell r="A66">
            <v>64</v>
          </cell>
          <cell r="C66" t="str">
            <v>Purchased Power and Fuel</v>
          </cell>
          <cell r="E66">
            <v>188.86956148999997</v>
          </cell>
          <cell r="F66">
            <v>341.89287809999996</v>
          </cell>
          <cell r="G66">
            <v>518.49882835000005</v>
          </cell>
          <cell r="H66">
            <v>651.47804637000002</v>
          </cell>
          <cell r="I66">
            <v>778.74794969000004</v>
          </cell>
          <cell r="J66">
            <v>936.04296547000001</v>
          </cell>
          <cell r="K66">
            <v>1109.29284461</v>
          </cell>
          <cell r="L66">
            <v>0</v>
          </cell>
          <cell r="M66">
            <v>0</v>
          </cell>
          <cell r="N66">
            <v>0</v>
          </cell>
          <cell r="O66">
            <v>0</v>
          </cell>
          <cell r="P66">
            <v>0</v>
          </cell>
        </row>
        <row r="67">
          <cell r="A67">
            <v>65</v>
          </cell>
          <cell r="C67" t="str">
            <v>Direct Expenses</v>
          </cell>
          <cell r="E67">
            <v>8.5245628100000008</v>
          </cell>
          <cell r="F67">
            <v>21.577046450000001</v>
          </cell>
          <cell r="G67">
            <v>36.121105850000006</v>
          </cell>
          <cell r="H67">
            <v>42.322839389999999</v>
          </cell>
          <cell r="I67">
            <v>53.452708830000006</v>
          </cell>
          <cell r="J67">
            <v>66.331591279999998</v>
          </cell>
          <cell r="K67">
            <v>78.909050479999991</v>
          </cell>
          <cell r="L67">
            <v>0</v>
          </cell>
          <cell r="M67">
            <v>0</v>
          </cell>
          <cell r="N67">
            <v>0</v>
          </cell>
          <cell r="O67">
            <v>0</v>
          </cell>
          <cell r="P67">
            <v>0</v>
          </cell>
        </row>
        <row r="68">
          <cell r="A68">
            <v>66</v>
          </cell>
          <cell r="C68" t="str">
            <v>Indirect Expenses</v>
          </cell>
          <cell r="E68">
            <v>20.913808169999999</v>
          </cell>
          <cell r="F68">
            <v>38.035775709999996</v>
          </cell>
          <cell r="G68">
            <v>61.768693350000007</v>
          </cell>
          <cell r="H68">
            <v>75.879810450000008</v>
          </cell>
          <cell r="I68">
            <v>91.288863570000004</v>
          </cell>
          <cell r="J68">
            <v>117.0963598</v>
          </cell>
          <cell r="K68">
            <v>138.59179592999999</v>
          </cell>
          <cell r="L68">
            <v>0</v>
          </cell>
          <cell r="M68">
            <v>0</v>
          </cell>
          <cell r="N68">
            <v>0</v>
          </cell>
          <cell r="O68">
            <v>0</v>
          </cell>
          <cell r="P68">
            <v>0</v>
          </cell>
        </row>
        <row r="69">
          <cell r="A69">
            <v>67</v>
          </cell>
          <cell r="C69" t="str">
            <v>SG &amp;A</v>
          </cell>
          <cell r="E69">
            <v>7.2018141199999999</v>
          </cell>
          <cell r="F69">
            <v>18.46863506</v>
          </cell>
          <cell r="G69">
            <v>16.01473412</v>
          </cell>
          <cell r="H69">
            <v>32.418775660000001</v>
          </cell>
          <cell r="I69">
            <v>31.044231950000004</v>
          </cell>
          <cell r="J69">
            <v>42.794408650000008</v>
          </cell>
          <cell r="K69">
            <v>51.294380980000014</v>
          </cell>
          <cell r="L69">
            <v>0</v>
          </cell>
          <cell r="M69">
            <v>0</v>
          </cell>
          <cell r="N69">
            <v>0</v>
          </cell>
          <cell r="O69">
            <v>0</v>
          </cell>
          <cell r="P69">
            <v>0</v>
          </cell>
        </row>
        <row r="70">
          <cell r="A70">
            <v>68</v>
          </cell>
          <cell r="C70" t="str">
            <v>BSC</v>
          </cell>
          <cell r="E70">
            <v>2.1551342400000002</v>
          </cell>
          <cell r="F70">
            <v>5.0126350500000001</v>
          </cell>
          <cell r="G70">
            <v>7.6628212500000012</v>
          </cell>
          <cell r="H70">
            <v>11.099509860000001</v>
          </cell>
          <cell r="I70">
            <v>14.320791750000001</v>
          </cell>
          <cell r="J70">
            <v>17.521182800000002</v>
          </cell>
          <cell r="K70">
            <v>20.066674690000003</v>
          </cell>
          <cell r="L70">
            <v>0</v>
          </cell>
          <cell r="M70">
            <v>0</v>
          </cell>
          <cell r="N70">
            <v>0</v>
          </cell>
          <cell r="O70">
            <v>0</v>
          </cell>
          <cell r="P70">
            <v>0</v>
          </cell>
        </row>
        <row r="71">
          <cell r="A71">
            <v>69</v>
          </cell>
          <cell r="C71" t="str">
            <v>Corp Center Allocation</v>
          </cell>
          <cell r="E71">
            <v>0</v>
          </cell>
          <cell r="F71">
            <v>4.8</v>
          </cell>
          <cell r="G71">
            <v>10.39393638</v>
          </cell>
          <cell r="H71">
            <v>9.0124077800000002</v>
          </cell>
          <cell r="I71">
            <v>11.55522294</v>
          </cell>
          <cell r="J71">
            <v>14.259650739999998</v>
          </cell>
          <cell r="K71">
            <v>16.424103549999998</v>
          </cell>
          <cell r="L71">
            <v>0</v>
          </cell>
          <cell r="M71">
            <v>0</v>
          </cell>
          <cell r="N71">
            <v>0</v>
          </cell>
          <cell r="O71">
            <v>0</v>
          </cell>
          <cell r="P71">
            <v>0</v>
          </cell>
        </row>
        <row r="72">
          <cell r="A72">
            <v>70</v>
          </cell>
          <cell r="C72" t="str">
            <v>Earnings from Invest.Equity(enter income as neg)</v>
          </cell>
          <cell r="E72">
            <v>2.4964600000008941E-3</v>
          </cell>
          <cell r="F72">
            <v>4.7404600000046197E-3</v>
          </cell>
          <cell r="G72">
            <v>-2.057660000000149E-3</v>
          </cell>
          <cell r="H72">
            <v>-1.8514660000003874E-2</v>
          </cell>
          <cell r="I72">
            <v>-4.1906599999964236E-3</v>
          </cell>
          <cell r="J72">
            <v>-1.3064659999996307E-2</v>
          </cell>
          <cell r="K72">
            <v>-5.6637660000011324E-2</v>
          </cell>
          <cell r="L72">
            <v>0</v>
          </cell>
          <cell r="M72">
            <v>0</v>
          </cell>
          <cell r="N72">
            <v>0</v>
          </cell>
          <cell r="O72">
            <v>0</v>
          </cell>
          <cell r="P72">
            <v>0</v>
          </cell>
        </row>
        <row r="73">
          <cell r="A73">
            <v>71</v>
          </cell>
          <cell r="C73" t="str">
            <v>Loss/(Gain) on Assets Disposal</v>
          </cell>
          <cell r="E73">
            <v>-0.6429954200000001</v>
          </cell>
          <cell r="F73">
            <v>-0.6429954200000001</v>
          </cell>
          <cell r="G73">
            <v>-0.63770247999999996</v>
          </cell>
          <cell r="H73">
            <v>-0.63770547999999994</v>
          </cell>
          <cell r="I73">
            <v>0.15225933</v>
          </cell>
          <cell r="J73">
            <v>0.15225933</v>
          </cell>
          <cell r="K73">
            <v>0.15110042999999998</v>
          </cell>
          <cell r="L73">
            <v>0</v>
          </cell>
          <cell r="M73">
            <v>0</v>
          </cell>
          <cell r="N73">
            <v>0</v>
          </cell>
          <cell r="O73">
            <v>0</v>
          </cell>
          <cell r="P73">
            <v>0</v>
          </cell>
        </row>
        <row r="74">
          <cell r="A74">
            <v>72</v>
          </cell>
          <cell r="C74" t="str">
            <v>Other Operating Expenses</v>
          </cell>
          <cell r="E74">
            <v>-9.1986281500000011</v>
          </cell>
          <cell r="F74">
            <v>-9.1941070000000007</v>
          </cell>
          <cell r="G74">
            <v>-9.1857055800000005</v>
          </cell>
          <cell r="H74">
            <v>-9.2074581400000017</v>
          </cell>
          <cell r="I74">
            <v>-9.2192096800000005</v>
          </cell>
          <cell r="J74">
            <v>-9.1875068299999985</v>
          </cell>
          <cell r="K74">
            <v>-9.2374232199999984</v>
          </cell>
          <cell r="L74">
            <v>0</v>
          </cell>
          <cell r="M74">
            <v>0</v>
          </cell>
          <cell r="N74">
            <v>0</v>
          </cell>
          <cell r="O74">
            <v>0</v>
          </cell>
          <cell r="P74">
            <v>0</v>
          </cell>
        </row>
        <row r="75">
          <cell r="A75">
            <v>73</v>
          </cell>
          <cell r="C75" t="str">
            <v>TOTI</v>
          </cell>
          <cell r="E75">
            <v>4.0493737999999997</v>
          </cell>
          <cell r="F75">
            <v>9.1453179700000007</v>
          </cell>
          <cell r="G75">
            <v>13.04726372</v>
          </cell>
          <cell r="H75">
            <v>22.318302490000001</v>
          </cell>
          <cell r="I75">
            <v>25.784722570000003</v>
          </cell>
          <cell r="J75">
            <v>29.835244160000006</v>
          </cell>
          <cell r="K75">
            <v>23.832628870000008</v>
          </cell>
          <cell r="L75">
            <v>0</v>
          </cell>
          <cell r="M75">
            <v>0</v>
          </cell>
          <cell r="N75">
            <v>0</v>
          </cell>
          <cell r="O75">
            <v>0</v>
          </cell>
          <cell r="P75">
            <v>0</v>
          </cell>
        </row>
        <row r="76">
          <cell r="A76">
            <v>74</v>
          </cell>
          <cell r="C76" t="str">
            <v>Total O&amp;M, Other</v>
          </cell>
          <cell r="E76">
            <v>33.005566030000011</v>
          </cell>
          <cell r="F76">
            <v>87.207048279999981</v>
          </cell>
          <cell r="G76">
            <v>135.18308895000004</v>
          </cell>
          <cell r="H76">
            <v>183.18796735000004</v>
          </cell>
          <cell r="I76">
            <v>218.37540060000001</v>
          </cell>
          <cell r="J76">
            <v>278.79012527000003</v>
          </cell>
          <cell r="K76">
            <v>319.97567404999995</v>
          </cell>
          <cell r="L76">
            <v>0</v>
          </cell>
          <cell r="M76">
            <v>0</v>
          </cell>
          <cell r="N76">
            <v>0</v>
          </cell>
          <cell r="O76">
            <v>0</v>
          </cell>
          <cell r="P76">
            <v>0</v>
          </cell>
        </row>
        <row r="77">
          <cell r="A77">
            <v>75</v>
          </cell>
          <cell r="C77" t="str">
            <v>D&amp;A</v>
          </cell>
          <cell r="E77">
            <v>34.461493349999998</v>
          </cell>
          <cell r="F77">
            <v>67.480411449999991</v>
          </cell>
          <cell r="G77">
            <v>101.15005793</v>
          </cell>
          <cell r="H77">
            <v>131.76856736000002</v>
          </cell>
          <cell r="I77">
            <v>163.42766638000001</v>
          </cell>
          <cell r="J77">
            <v>199.66821988000004</v>
          </cell>
          <cell r="K77">
            <v>239.89182074000001</v>
          </cell>
          <cell r="L77">
            <v>0</v>
          </cell>
          <cell r="M77">
            <v>0</v>
          </cell>
          <cell r="N77">
            <v>0</v>
          </cell>
          <cell r="O77">
            <v>0</v>
          </cell>
          <cell r="P77">
            <v>0</v>
          </cell>
        </row>
        <row r="78">
          <cell r="A78">
            <v>76</v>
          </cell>
          <cell r="C78" t="str">
            <v>Interest Expense</v>
          </cell>
          <cell r="E78">
            <v>38.098999080000006</v>
          </cell>
          <cell r="F78">
            <v>76.267734490000009</v>
          </cell>
          <cell r="G78">
            <v>107.16893058999999</v>
          </cell>
          <cell r="H78">
            <v>148.43848371999999</v>
          </cell>
          <cell r="I78">
            <v>185.41872673999998</v>
          </cell>
          <cell r="J78">
            <v>223.44765509000001</v>
          </cell>
          <cell r="K78">
            <v>249.94802960000004</v>
          </cell>
          <cell r="L78">
            <v>0</v>
          </cell>
          <cell r="M78">
            <v>0</v>
          </cell>
          <cell r="N78">
            <v>0</v>
          </cell>
          <cell r="O78">
            <v>0</v>
          </cell>
          <cell r="P78">
            <v>0</v>
          </cell>
        </row>
        <row r="79">
          <cell r="A79">
            <v>77</v>
          </cell>
          <cell r="C79" t="str">
            <v>Taxes</v>
          </cell>
          <cell r="E79">
            <v>-0.37688903000000001</v>
          </cell>
          <cell r="F79">
            <v>47.376342460000004</v>
          </cell>
          <cell r="G79">
            <v>67.202520020000009</v>
          </cell>
          <cell r="H79">
            <v>77.675134020000016</v>
          </cell>
          <cell r="I79">
            <v>93.582766020000008</v>
          </cell>
          <cell r="J79">
            <v>112.32984602000001</v>
          </cell>
          <cell r="K79">
            <v>139.76148102000002</v>
          </cell>
          <cell r="L79">
            <v>0</v>
          </cell>
          <cell r="M79">
            <v>0</v>
          </cell>
          <cell r="N79">
            <v>0</v>
          </cell>
          <cell r="O79">
            <v>0</v>
          </cell>
          <cell r="P79">
            <v>0</v>
          </cell>
        </row>
        <row r="80">
          <cell r="A80">
            <v>78</v>
          </cell>
          <cell r="C80" t="str">
            <v>Preferred Stock Dividends</v>
          </cell>
          <cell r="E80">
            <v>0.80875600000000003</v>
          </cell>
          <cell r="F80">
            <v>1.6175120000000001</v>
          </cell>
          <cell r="G80">
            <v>2.4262679999999999</v>
          </cell>
          <cell r="H80">
            <v>3.2350233300000002</v>
          </cell>
          <cell r="I80">
            <v>4.0437793300000004</v>
          </cell>
          <cell r="J80">
            <v>4.8525353300000003</v>
          </cell>
          <cell r="K80">
            <v>5.6612906600000006</v>
          </cell>
          <cell r="L80">
            <v>0</v>
          </cell>
          <cell r="M80">
            <v>0</v>
          </cell>
          <cell r="N80">
            <v>0</v>
          </cell>
          <cell r="O80">
            <v>0</v>
          </cell>
          <cell r="P80">
            <v>0</v>
          </cell>
        </row>
        <row r="81">
          <cell r="A81">
            <v>79</v>
          </cell>
          <cell r="C81" t="str">
            <v>Net Income</v>
          </cell>
          <cell r="E81">
            <v>83.748791010000005</v>
          </cell>
          <cell r="F81">
            <v>69.073238730000071</v>
          </cell>
          <cell r="G81">
            <v>119.46922606000004</v>
          </cell>
          <cell r="H81">
            <v>143.38633159999989</v>
          </cell>
          <cell r="I81">
            <v>168.11743944</v>
          </cell>
          <cell r="J81">
            <v>201.80659802999995</v>
          </cell>
          <cell r="K81">
            <v>242.93518053000045</v>
          </cell>
          <cell r="L81">
            <v>0</v>
          </cell>
          <cell r="M81">
            <v>0</v>
          </cell>
          <cell r="N81">
            <v>0</v>
          </cell>
          <cell r="O81">
            <v>0</v>
          </cell>
          <cell r="P81">
            <v>0</v>
          </cell>
        </row>
        <row r="82">
          <cell r="A82">
            <v>80</v>
          </cell>
          <cell r="C82" t="str">
            <v>EPS</v>
          </cell>
          <cell r="E82">
            <v>0.26336097801886793</v>
          </cell>
          <cell r="F82">
            <v>0.21721144254717004</v>
          </cell>
          <cell r="G82">
            <v>0.37568939012578628</v>
          </cell>
          <cell r="H82">
            <v>0.45090041383647766</v>
          </cell>
          <cell r="I82">
            <v>0.52867119320754719</v>
          </cell>
          <cell r="J82">
            <v>0.63461194349056582</v>
          </cell>
          <cell r="K82">
            <v>0.76394710858490711</v>
          </cell>
          <cell r="L82">
            <v>0</v>
          </cell>
          <cell r="M82">
            <v>0</v>
          </cell>
          <cell r="N82">
            <v>0</v>
          </cell>
          <cell r="O82">
            <v>0</v>
          </cell>
          <cell r="P82">
            <v>0</v>
          </cell>
        </row>
        <row r="83">
          <cell r="A83">
            <v>81</v>
          </cell>
        </row>
        <row r="84">
          <cell r="A84">
            <v>82</v>
          </cell>
          <cell r="B84" t="str">
            <v>Budget</v>
          </cell>
        </row>
        <row r="85">
          <cell r="A85">
            <v>83</v>
          </cell>
          <cell r="C85" t="str">
            <v>Monthly Sales &amp; Delivery Volumes</v>
          </cell>
        </row>
        <row r="86">
          <cell r="A86">
            <v>84</v>
          </cell>
          <cell r="C86" t="str">
            <v>Electric Delivery (gWh)</v>
          </cell>
          <cell r="E86">
            <v>3202.8536246776689</v>
          </cell>
          <cell r="F86">
            <v>2817.2141652382447</v>
          </cell>
          <cell r="G86">
            <v>2848.5307055500994</v>
          </cell>
          <cell r="H86">
            <v>2531.7024397606033</v>
          </cell>
          <cell r="I86">
            <v>2661.0747838173693</v>
          </cell>
          <cell r="J86">
            <v>2951.7525719799582</v>
          </cell>
          <cell r="K86">
            <v>3456.2833554166968</v>
          </cell>
          <cell r="L86">
            <v>3317.5161020968085</v>
          </cell>
          <cell r="M86">
            <v>2804.2572656379134</v>
          </cell>
          <cell r="N86">
            <v>2650.9873261788498</v>
          </cell>
          <cell r="O86">
            <v>2707.2202146811628</v>
          </cell>
          <cell r="P86">
            <v>3071.3582491605657</v>
          </cell>
        </row>
        <row r="87">
          <cell r="A87">
            <v>85</v>
          </cell>
          <cell r="C87" t="str">
            <v>Electric Energy Sales (gWh)</v>
          </cell>
          <cell r="E87">
            <v>1942.8997256542743</v>
          </cell>
          <cell r="F87">
            <v>1709.6414106955058</v>
          </cell>
          <cell r="G87">
            <v>1721.604105080927</v>
          </cell>
          <cell r="H87">
            <v>1535.5005639854855</v>
          </cell>
          <cell r="I87">
            <v>1603.637270820396</v>
          </cell>
          <cell r="J87">
            <v>1780.1855949131366</v>
          </cell>
          <cell r="K87">
            <v>2084.0934234157526</v>
          </cell>
          <cell r="L87">
            <v>2003.1768918052535</v>
          </cell>
          <cell r="M87">
            <v>1694.437174299019</v>
          </cell>
          <cell r="N87">
            <v>1601.4638984538615</v>
          </cell>
          <cell r="O87">
            <v>1638.1863678232176</v>
          </cell>
          <cell r="P87">
            <v>1859.955545023053</v>
          </cell>
        </row>
        <row r="88">
          <cell r="A88">
            <v>86</v>
          </cell>
          <cell r="C88" t="str">
            <v>Electric Load Retention (%)</v>
          </cell>
          <cell r="E88">
            <v>0.60661521047494182</v>
          </cell>
          <cell r="F88">
            <v>0.60685532246389429</v>
          </cell>
          <cell r="G88">
            <v>0.60438320068888152</v>
          </cell>
          <cell r="H88">
            <v>0.60650909833253619</v>
          </cell>
          <cell r="I88">
            <v>0.60262766028692505</v>
          </cell>
          <cell r="J88">
            <v>0.60309445033159903</v>
          </cell>
          <cell r="K88">
            <v>0.60298685295855603</v>
          </cell>
          <cell r="L88">
            <v>0.60381828758545053</v>
          </cell>
          <cell r="M88">
            <v>0.60423741967681699</v>
          </cell>
          <cell r="N88">
            <v>0.6041009259603749</v>
          </cell>
          <cell r="O88">
            <v>0.60511751461495034</v>
          </cell>
          <cell r="P88">
            <v>0.60558078678428295</v>
          </cell>
        </row>
        <row r="89">
          <cell r="A89">
            <v>87</v>
          </cell>
          <cell r="C89" t="str">
            <v>Energy Purchased (gWh)</v>
          </cell>
          <cell r="E89">
            <v>2100.1093173608938</v>
          </cell>
          <cell r="F89">
            <v>1847.6937209626849</v>
          </cell>
          <cell r="G89">
            <v>1859.3702537714657</v>
          </cell>
          <cell r="H89">
            <v>1655.8270027700289</v>
          </cell>
          <cell r="I89">
            <v>1727.1306558306158</v>
          </cell>
          <cell r="J89">
            <v>1916.1496110455194</v>
          </cell>
          <cell r="K89">
            <v>2248.190139316494</v>
          </cell>
          <cell r="L89">
            <v>2163.0559246808016</v>
          </cell>
          <cell r="M89">
            <v>1827.6899722127182</v>
          </cell>
          <cell r="N89">
            <v>1723.2025155975514</v>
          </cell>
          <cell r="O89">
            <v>1765.6157072623637</v>
          </cell>
          <cell r="P89">
            <v>2006.5993717679703</v>
          </cell>
        </row>
        <row r="90">
          <cell r="A90">
            <v>88</v>
          </cell>
          <cell r="C90" t="str">
            <v>Gas Sold (Bcf)</v>
          </cell>
          <cell r="E90">
            <v>11.375607851887413</v>
          </cell>
          <cell r="F90">
            <v>10.680133150437111</v>
          </cell>
          <cell r="G90">
            <v>9.2415013638890304</v>
          </cell>
          <cell r="H90">
            <v>6.21135800727677</v>
          </cell>
          <cell r="I90">
            <v>3.2893528719490623</v>
          </cell>
          <cell r="J90">
            <v>1.8243461996563746</v>
          </cell>
          <cell r="K90">
            <v>1.3364705643539339</v>
          </cell>
          <cell r="L90">
            <v>1.2030625042195158</v>
          </cell>
          <cell r="M90">
            <v>1.4854959116175652</v>
          </cell>
          <cell r="N90">
            <v>2.3920860745868917</v>
          </cell>
          <cell r="O90">
            <v>5.0470729994441355</v>
          </cell>
          <cell r="P90">
            <v>7.9181875006821976</v>
          </cell>
        </row>
        <row r="91">
          <cell r="A91">
            <v>89</v>
          </cell>
        </row>
        <row r="92">
          <cell r="A92">
            <v>90</v>
          </cell>
          <cell r="C92" t="str">
            <v>QTD Sales &amp; Delivery Volumes</v>
          </cell>
        </row>
        <row r="93">
          <cell r="A93">
            <v>91</v>
          </cell>
          <cell r="C93" t="str">
            <v>Electric Delivery (gWh)</v>
          </cell>
          <cell r="E93">
            <v>3202.8536246776689</v>
          </cell>
          <cell r="F93">
            <v>6020.0677899159136</v>
          </cell>
          <cell r="G93">
            <v>8868.5984954660125</v>
          </cell>
          <cell r="H93">
            <v>2531.7024397606033</v>
          </cell>
          <cell r="I93">
            <v>5192.7772235779721</v>
          </cell>
          <cell r="J93">
            <v>8144.5297955579299</v>
          </cell>
          <cell r="K93">
            <v>3456.2833554166968</v>
          </cell>
          <cell r="L93">
            <v>6773.7994575135053</v>
          </cell>
          <cell r="M93">
            <v>9578.0567231514178</v>
          </cell>
          <cell r="N93">
            <v>2650.9873261788498</v>
          </cell>
          <cell r="O93">
            <v>5358.2075408600122</v>
          </cell>
          <cell r="P93">
            <v>8429.565790020577</v>
          </cell>
        </row>
        <row r="94">
          <cell r="A94">
            <v>92</v>
          </cell>
          <cell r="C94" t="str">
            <v>Electric Energy Sales (gWh)</v>
          </cell>
          <cell r="E94">
            <v>1942.8997256542743</v>
          </cell>
          <cell r="F94">
            <v>3652.5411363497801</v>
          </cell>
          <cell r="G94">
            <v>5374.1452414307068</v>
          </cell>
          <cell r="H94">
            <v>1535.5005639854855</v>
          </cell>
          <cell r="I94">
            <v>3139.1378348058815</v>
          </cell>
          <cell r="J94">
            <v>4919.3234297190183</v>
          </cell>
          <cell r="K94">
            <v>2084.0934234157526</v>
          </cell>
          <cell r="L94">
            <v>4087.2703152210061</v>
          </cell>
          <cell r="M94">
            <v>5781.7074895200249</v>
          </cell>
          <cell r="N94">
            <v>1601.4638984538615</v>
          </cell>
          <cell r="O94">
            <v>3239.650266277079</v>
          </cell>
          <cell r="P94">
            <v>5099.6058113001318</v>
          </cell>
        </row>
        <row r="95">
          <cell r="A95">
            <v>93</v>
          </cell>
        </row>
        <row r="96">
          <cell r="A96">
            <v>94</v>
          </cell>
          <cell r="C96" t="str">
            <v>YTD Sales &amp; Delivery Volumes</v>
          </cell>
        </row>
        <row r="97">
          <cell r="A97">
            <v>95</v>
          </cell>
          <cell r="C97" t="str">
            <v>Electric Delivery (gWh)</v>
          </cell>
          <cell r="E97">
            <v>3202.8536246776689</v>
          </cell>
          <cell r="F97">
            <v>6020.0677899159136</v>
          </cell>
          <cell r="G97">
            <v>8868.5984954660125</v>
          </cell>
          <cell r="H97">
            <v>11400.300935226616</v>
          </cell>
          <cell r="I97">
            <v>14061.375719043986</v>
          </cell>
          <cell r="J97">
            <v>17013.128291023946</v>
          </cell>
          <cell r="K97">
            <v>20469.411646440643</v>
          </cell>
          <cell r="L97">
            <v>23786.927748537451</v>
          </cell>
          <cell r="M97">
            <v>26591.185014175364</v>
          </cell>
          <cell r="N97">
            <v>29242.172340354213</v>
          </cell>
          <cell r="O97">
            <v>31949.392555035374</v>
          </cell>
          <cell r="P97">
            <v>35020.750804195937</v>
          </cell>
        </row>
        <row r="98">
          <cell r="A98">
            <v>96</v>
          </cell>
          <cell r="C98" t="str">
            <v>Electric Energy Sales (gWh)</v>
          </cell>
          <cell r="E98">
            <v>1942.8997256542743</v>
          </cell>
          <cell r="F98">
            <v>3652.5411363497801</v>
          </cell>
          <cell r="G98">
            <v>5374.1452414307068</v>
          </cell>
          <cell r="H98">
            <v>6909.6458054161922</v>
          </cell>
          <cell r="I98">
            <v>8513.2830762365884</v>
          </cell>
          <cell r="J98">
            <v>10293.468671149725</v>
          </cell>
          <cell r="K98">
            <v>12377.562094565477</v>
          </cell>
          <cell r="L98">
            <v>14380.73898637073</v>
          </cell>
          <cell r="M98">
            <v>16075.176160669749</v>
          </cell>
          <cell r="N98">
            <v>17676.640059123609</v>
          </cell>
          <cell r="O98">
            <v>19314.826426946827</v>
          </cell>
          <cell r="P98">
            <v>21174.781971969882</v>
          </cell>
        </row>
        <row r="99">
          <cell r="A99">
            <v>97</v>
          </cell>
          <cell r="C99" t="str">
            <v>Electric Load Retention (%)</v>
          </cell>
          <cell r="E99">
            <v>0.60661521047494182</v>
          </cell>
          <cell r="F99">
            <v>0.6067275758037266</v>
          </cell>
          <cell r="G99">
            <v>0.60597457920529252</v>
          </cell>
          <cell r="H99">
            <v>0.60609328163132747</v>
          </cell>
          <cell r="I99">
            <v>0.60543742279118862</v>
          </cell>
          <cell r="J99">
            <v>0.60503092053802443</v>
          </cell>
          <cell r="K99">
            <v>0.60468577741059648</v>
          </cell>
          <cell r="L99">
            <v>0.60456479030819499</v>
          </cell>
          <cell r="M99">
            <v>0.60453026640596541</v>
          </cell>
          <cell r="N99">
            <v>0.60449134398711668</v>
          </cell>
          <cell r="O99">
            <v>0.60454440232863582</v>
          </cell>
          <cell r="P99">
            <v>0.60463529438189167</v>
          </cell>
        </row>
        <row r="100">
          <cell r="A100">
            <v>98</v>
          </cell>
          <cell r="C100" t="str">
            <v>Energy Purchased (gWh)</v>
          </cell>
          <cell r="E100">
            <v>2100.1093173608938</v>
          </cell>
          <cell r="F100">
            <v>3947.8030383235787</v>
          </cell>
          <cell r="G100">
            <v>5807.1732920950444</v>
          </cell>
          <cell r="H100">
            <v>7463.0002948650736</v>
          </cell>
          <cell r="I100">
            <v>9190.1309506956895</v>
          </cell>
          <cell r="J100">
            <v>11106.280561741209</v>
          </cell>
          <cell r="K100">
            <v>13354.470701057702</v>
          </cell>
          <cell r="L100">
            <v>15517.526625738505</v>
          </cell>
          <cell r="M100">
            <v>17345.216597951221</v>
          </cell>
          <cell r="N100">
            <v>19068.419113548771</v>
          </cell>
          <cell r="O100">
            <v>20834.034820811135</v>
          </cell>
          <cell r="P100">
            <v>22840.634192579106</v>
          </cell>
        </row>
        <row r="101">
          <cell r="A101">
            <v>99</v>
          </cell>
          <cell r="C101" t="str">
            <v>Gas Sold (Bcf)</v>
          </cell>
          <cell r="E101">
            <v>11.375607851887413</v>
          </cell>
          <cell r="F101">
            <v>22.055741002324524</v>
          </cell>
          <cell r="G101">
            <v>31.297242366213553</v>
          </cell>
          <cell r="H101">
            <v>37.508600373490324</v>
          </cell>
          <cell r="I101">
            <v>40.797953245439388</v>
          </cell>
          <cell r="J101">
            <v>42.622299445095763</v>
          </cell>
          <cell r="K101">
            <v>43.958770009449694</v>
          </cell>
          <cell r="L101">
            <v>45.161832513669211</v>
          </cell>
          <cell r="M101">
            <v>46.647328425286773</v>
          </cell>
          <cell r="N101">
            <v>49.039414499873665</v>
          </cell>
          <cell r="O101">
            <v>54.086487499317798</v>
          </cell>
          <cell r="P101">
            <v>62.004674999999992</v>
          </cell>
        </row>
        <row r="102">
          <cell r="A102">
            <v>100</v>
          </cell>
        </row>
        <row r="103">
          <cell r="A103">
            <v>101</v>
          </cell>
          <cell r="C103" t="str">
            <v>Monthly</v>
          </cell>
        </row>
        <row r="104">
          <cell r="A104">
            <v>102</v>
          </cell>
          <cell r="C104" t="str">
            <v>Revenue</v>
          </cell>
          <cell r="E104">
            <v>360.439187</v>
          </cell>
          <cell r="F104">
            <v>328.12718699999999</v>
          </cell>
          <cell r="G104">
            <v>314.88024799999999</v>
          </cell>
          <cell r="H104">
            <v>268.54424799999998</v>
          </cell>
          <cell r="I104">
            <v>252.59224800000004</v>
          </cell>
          <cell r="J104">
            <v>279.16224800000003</v>
          </cell>
          <cell r="K104">
            <v>329.47524800000002</v>
          </cell>
          <cell r="L104">
            <v>314.18816700000002</v>
          </cell>
          <cell r="M104">
            <v>264.99516699999998</v>
          </cell>
          <cell r="N104">
            <v>241.535167</v>
          </cell>
          <cell r="O104">
            <v>272.30816700000003</v>
          </cell>
          <cell r="P104">
            <v>317.112167</v>
          </cell>
        </row>
        <row r="105">
          <cell r="A105">
            <v>103</v>
          </cell>
          <cell r="C105" t="str">
            <v>Purchased Power/Fuel/GRT</v>
          </cell>
          <cell r="E105">
            <v>167.20399999999998</v>
          </cell>
          <cell r="F105">
            <v>152.12799999999999</v>
          </cell>
          <cell r="G105">
            <v>143.60499999999999</v>
          </cell>
          <cell r="H105">
            <v>117.68</v>
          </cell>
          <cell r="I105">
            <v>104.81099999999999</v>
          </cell>
          <cell r="J105">
            <v>111.97499999999999</v>
          </cell>
          <cell r="K105">
            <v>133.268</v>
          </cell>
          <cell r="L105">
            <v>124.003</v>
          </cell>
          <cell r="M105">
            <v>102.316</v>
          </cell>
          <cell r="N105">
            <v>97.83</v>
          </cell>
          <cell r="O105">
            <v>116.16300000000001</v>
          </cell>
          <cell r="P105">
            <v>139.666</v>
          </cell>
        </row>
        <row r="106">
          <cell r="A106">
            <v>104</v>
          </cell>
          <cell r="C106" t="str">
            <v>Direct Expenses</v>
          </cell>
          <cell r="E106">
            <v>11.564</v>
          </cell>
          <cell r="F106">
            <v>11.192</v>
          </cell>
          <cell r="G106">
            <v>11.821999999999999</v>
          </cell>
          <cell r="H106">
            <v>11.262</v>
          </cell>
          <cell r="I106">
            <v>11.077</v>
          </cell>
          <cell r="J106">
            <v>10.576000000000001</v>
          </cell>
          <cell r="K106">
            <v>10.715</v>
          </cell>
          <cell r="L106">
            <v>10.922000000000001</v>
          </cell>
          <cell r="M106">
            <v>10.472999999999999</v>
          </cell>
          <cell r="N106">
            <v>10.901</v>
          </cell>
          <cell r="O106">
            <v>11.262</v>
          </cell>
          <cell r="P106">
            <v>10.928000000000001</v>
          </cell>
        </row>
        <row r="107">
          <cell r="A107">
            <v>105</v>
          </cell>
          <cell r="C107" t="str">
            <v>Indirect Expenses</v>
          </cell>
          <cell r="E107">
            <v>7.633</v>
          </cell>
          <cell r="F107">
            <v>7.327</v>
          </cell>
          <cell r="G107">
            <v>8.2029999999999994</v>
          </cell>
          <cell r="H107">
            <v>7.782</v>
          </cell>
          <cell r="I107">
            <v>7.5410000000000004</v>
          </cell>
          <cell r="J107">
            <v>7.5979999999999999</v>
          </cell>
          <cell r="K107">
            <v>7.5330000000000004</v>
          </cell>
          <cell r="L107">
            <v>8.0039999999999996</v>
          </cell>
          <cell r="M107">
            <v>7.5380000000000003</v>
          </cell>
          <cell r="N107">
            <v>9.1609999999999996</v>
          </cell>
          <cell r="O107">
            <v>7.5439999999999996</v>
          </cell>
          <cell r="P107">
            <v>7.5860000000000003</v>
          </cell>
        </row>
        <row r="108">
          <cell r="A108">
            <v>106</v>
          </cell>
          <cell r="C108" t="str">
            <v>SG &amp;A</v>
          </cell>
          <cell r="E108">
            <v>23.55602</v>
          </cell>
          <cell r="F108">
            <v>18.562019999999997</v>
          </cell>
          <cell r="G108">
            <v>18.099080999999998</v>
          </cell>
          <cell r="H108">
            <v>17.332080999999999</v>
          </cell>
          <cell r="I108">
            <v>17.571081</v>
          </cell>
          <cell r="J108">
            <v>21.993081000000004</v>
          </cell>
          <cell r="K108">
            <v>21.280080999999999</v>
          </cell>
          <cell r="L108">
            <v>21.497</v>
          </cell>
          <cell r="M108">
            <v>20.748999999999995</v>
          </cell>
          <cell r="N108">
            <v>21.39</v>
          </cell>
          <cell r="O108">
            <v>18.012999999999998</v>
          </cell>
          <cell r="P108">
            <v>20.711999999999996</v>
          </cell>
        </row>
        <row r="109">
          <cell r="A109">
            <v>107</v>
          </cell>
          <cell r="C109" t="str">
            <v>BSC</v>
          </cell>
          <cell r="E109">
            <v>4.0720000000000001</v>
          </cell>
          <cell r="F109">
            <v>4.069</v>
          </cell>
          <cell r="G109">
            <v>4.2679999999999998</v>
          </cell>
          <cell r="H109">
            <v>4.0640000000000001</v>
          </cell>
          <cell r="I109">
            <v>4.0629999999999997</v>
          </cell>
          <cell r="J109">
            <v>4.2619999999999996</v>
          </cell>
          <cell r="K109">
            <v>4.0739999999999998</v>
          </cell>
          <cell r="L109">
            <v>4.0730000000000004</v>
          </cell>
          <cell r="M109">
            <v>4.2720000000000002</v>
          </cell>
          <cell r="N109">
            <v>4.048</v>
          </cell>
          <cell r="O109">
            <v>4.0490000000000004</v>
          </cell>
          <cell r="P109">
            <v>4.2539999999999996</v>
          </cell>
        </row>
        <row r="110">
          <cell r="A110">
            <v>108</v>
          </cell>
          <cell r="C110" t="str">
            <v>Corp Center Allocation</v>
          </cell>
          <cell r="E110">
            <v>2.367</v>
          </cell>
          <cell r="F110">
            <v>2.367</v>
          </cell>
          <cell r="G110">
            <v>2.367</v>
          </cell>
          <cell r="H110">
            <v>2.367</v>
          </cell>
          <cell r="I110">
            <v>2.367</v>
          </cell>
          <cell r="J110">
            <v>2.367</v>
          </cell>
          <cell r="K110">
            <v>2.367</v>
          </cell>
          <cell r="L110">
            <v>2.367</v>
          </cell>
          <cell r="M110">
            <v>2.367</v>
          </cell>
          <cell r="N110">
            <v>2.367</v>
          </cell>
          <cell r="O110">
            <v>2.367</v>
          </cell>
          <cell r="P110">
            <v>2.367</v>
          </cell>
        </row>
        <row r="111">
          <cell r="A111">
            <v>109</v>
          </cell>
          <cell r="C111" t="str">
            <v>Earnings from Invest.Equity(enter income as neg)</v>
          </cell>
          <cell r="E111">
            <v>0</v>
          </cell>
          <cell r="F111">
            <v>0</v>
          </cell>
          <cell r="G111">
            <v>0</v>
          </cell>
          <cell r="H111">
            <v>0</v>
          </cell>
          <cell r="I111">
            <v>0</v>
          </cell>
          <cell r="J111">
            <v>0</v>
          </cell>
          <cell r="K111">
            <v>0</v>
          </cell>
          <cell r="L111">
            <v>0</v>
          </cell>
          <cell r="M111">
            <v>0</v>
          </cell>
          <cell r="N111">
            <v>0</v>
          </cell>
          <cell r="O111">
            <v>0</v>
          </cell>
          <cell r="P111">
            <v>0</v>
          </cell>
        </row>
        <row r="112">
          <cell r="A112">
            <v>110</v>
          </cell>
          <cell r="C112" t="str">
            <v>Loss/(Gain) on Assets Disposal</v>
          </cell>
          <cell r="E112">
            <v>0</v>
          </cell>
          <cell r="F112">
            <v>0</v>
          </cell>
          <cell r="G112">
            <v>0</v>
          </cell>
          <cell r="H112">
            <v>0</v>
          </cell>
          <cell r="I112">
            <v>0</v>
          </cell>
          <cell r="J112">
            <v>0</v>
          </cell>
          <cell r="K112">
            <v>0</v>
          </cell>
          <cell r="L112">
            <v>0</v>
          </cell>
          <cell r="M112">
            <v>0</v>
          </cell>
          <cell r="N112">
            <v>0</v>
          </cell>
          <cell r="O112">
            <v>0</v>
          </cell>
          <cell r="P112">
            <v>0</v>
          </cell>
        </row>
        <row r="113">
          <cell r="A113">
            <v>111</v>
          </cell>
          <cell r="C113" t="str">
            <v>Other Operating Expenses</v>
          </cell>
          <cell r="E113">
            <v>0</v>
          </cell>
          <cell r="F113">
            <v>0</v>
          </cell>
          <cell r="G113">
            <v>0</v>
          </cell>
          <cell r="H113">
            <v>0</v>
          </cell>
          <cell r="I113">
            <v>0</v>
          </cell>
          <cell r="J113">
            <v>0</v>
          </cell>
          <cell r="K113">
            <v>0</v>
          </cell>
          <cell r="L113">
            <v>0</v>
          </cell>
          <cell r="M113">
            <v>0</v>
          </cell>
          <cell r="N113">
            <v>0</v>
          </cell>
          <cell r="O113">
            <v>0</v>
          </cell>
          <cell r="P113">
            <v>0</v>
          </cell>
        </row>
        <row r="114">
          <cell r="A114">
            <v>112</v>
          </cell>
          <cell r="C114" t="str">
            <v>TOTI</v>
          </cell>
          <cell r="E114">
            <v>3.5760000000000001</v>
          </cell>
          <cell r="F114">
            <v>3.5219999999999998</v>
          </cell>
          <cell r="G114">
            <v>3.6070000000000002</v>
          </cell>
          <cell r="H114">
            <v>3.552</v>
          </cell>
          <cell r="I114">
            <v>3.593</v>
          </cell>
          <cell r="J114">
            <v>3.605</v>
          </cell>
          <cell r="K114">
            <v>3.5830000000000002</v>
          </cell>
          <cell r="L114">
            <v>3.6070000000000002</v>
          </cell>
          <cell r="M114">
            <v>3.58</v>
          </cell>
          <cell r="N114">
            <v>3.5910000000000002</v>
          </cell>
          <cell r="O114">
            <v>3.5739999999999998</v>
          </cell>
          <cell r="P114">
            <v>3.5760000000000001</v>
          </cell>
        </row>
        <row r="115">
          <cell r="A115">
            <v>113</v>
          </cell>
          <cell r="C115" t="str">
            <v>Total O&amp;M, Other</v>
          </cell>
          <cell r="E115">
            <v>52.76802</v>
          </cell>
          <cell r="F115">
            <v>47.039019999999994</v>
          </cell>
          <cell r="G115">
            <v>48.366080999999994</v>
          </cell>
          <cell r="H115">
            <v>46.359080999999996</v>
          </cell>
          <cell r="I115">
            <v>46.212080999999998</v>
          </cell>
          <cell r="J115">
            <v>50.401080999999998</v>
          </cell>
          <cell r="K115">
            <v>49.552080999999994</v>
          </cell>
          <cell r="L115">
            <v>50.47</v>
          </cell>
          <cell r="M115">
            <v>48.978999999999985</v>
          </cell>
          <cell r="N115">
            <v>51.457999999999998</v>
          </cell>
          <cell r="O115">
            <v>46.808999999999997</v>
          </cell>
          <cell r="P115">
            <v>49.422999999999995</v>
          </cell>
        </row>
        <row r="116">
          <cell r="A116">
            <v>114</v>
          </cell>
          <cell r="C116" t="str">
            <v>D&amp;A</v>
          </cell>
          <cell r="E116">
            <v>34.511000000000003</v>
          </cell>
          <cell r="F116">
            <v>32.146000000000001</v>
          </cell>
          <cell r="G116">
            <v>31.913000000000004</v>
          </cell>
          <cell r="H116">
            <v>29.951999999999998</v>
          </cell>
          <cell r="I116">
            <v>31.067999999999998</v>
          </cell>
          <cell r="J116">
            <v>35.134999999999998</v>
          </cell>
          <cell r="K116">
            <v>39.435000000000002</v>
          </cell>
          <cell r="L116">
            <v>37.953000000000003</v>
          </cell>
          <cell r="M116">
            <v>33.771000000000001</v>
          </cell>
          <cell r="N116">
            <v>30.654000000000003</v>
          </cell>
          <cell r="O116">
            <v>31.593000000000004</v>
          </cell>
          <cell r="P116">
            <v>33.731999999999999</v>
          </cell>
        </row>
        <row r="117">
          <cell r="A117">
            <v>115</v>
          </cell>
          <cell r="C117" t="str">
            <v>Interest Expense</v>
          </cell>
          <cell r="E117">
            <v>36.084000000000003</v>
          </cell>
          <cell r="F117">
            <v>36.084000000000003</v>
          </cell>
          <cell r="G117">
            <v>36.084000000000003</v>
          </cell>
          <cell r="H117">
            <v>36.084000000000003</v>
          </cell>
          <cell r="I117">
            <v>36.084000000000003</v>
          </cell>
          <cell r="J117">
            <v>36.084000000000003</v>
          </cell>
          <cell r="K117">
            <v>36.084000000000003</v>
          </cell>
          <cell r="L117">
            <v>36.084000000000003</v>
          </cell>
          <cell r="M117">
            <v>36.084000000000003</v>
          </cell>
          <cell r="N117">
            <v>36.084000000000003</v>
          </cell>
          <cell r="O117">
            <v>36.084000000000003</v>
          </cell>
          <cell r="P117">
            <v>36.084000000000003</v>
          </cell>
        </row>
        <row r="118">
          <cell r="A118">
            <v>116</v>
          </cell>
          <cell r="C118" t="str">
            <v>Taxes</v>
          </cell>
          <cell r="E118">
            <v>26.55</v>
          </cell>
          <cell r="F118">
            <v>23.076000000000001</v>
          </cell>
          <cell r="G118">
            <v>20.864999999999998</v>
          </cell>
          <cell r="H118">
            <v>14.617000000000001</v>
          </cell>
          <cell r="I118">
            <v>13.077</v>
          </cell>
          <cell r="J118">
            <v>17.314</v>
          </cell>
          <cell r="K118">
            <v>27.03</v>
          </cell>
          <cell r="L118">
            <v>24.956</v>
          </cell>
          <cell r="M118">
            <v>16.66</v>
          </cell>
          <cell r="N118">
            <v>9.6920000000000002</v>
          </cell>
          <cell r="O118">
            <v>15.829000000000001</v>
          </cell>
          <cell r="P118">
            <v>22.117000000000001</v>
          </cell>
        </row>
        <row r="119">
          <cell r="A119">
            <v>117</v>
          </cell>
          <cell r="C119" t="str">
            <v>Preferred Stock Dividends</v>
          </cell>
          <cell r="E119">
            <v>0.76900000000000002</v>
          </cell>
          <cell r="F119">
            <v>0.76900000000000002</v>
          </cell>
          <cell r="G119">
            <v>0.76900000000000002</v>
          </cell>
          <cell r="H119">
            <v>0.76900000000000002</v>
          </cell>
          <cell r="I119">
            <v>0.76900000000000002</v>
          </cell>
          <cell r="J119">
            <v>0.76900000000000002</v>
          </cell>
          <cell r="K119">
            <v>0.76900000000000002</v>
          </cell>
          <cell r="L119">
            <v>0.76900000000000002</v>
          </cell>
          <cell r="M119">
            <v>0.76900000000000002</v>
          </cell>
          <cell r="N119">
            <v>0.76900000000000002</v>
          </cell>
          <cell r="O119">
            <v>0.76900000000000002</v>
          </cell>
          <cell r="P119">
            <v>0.76900000000000002</v>
          </cell>
        </row>
        <row r="120">
          <cell r="A120">
            <v>118</v>
          </cell>
          <cell r="C120" t="str">
            <v>Net Income</v>
          </cell>
          <cell r="E120">
            <v>42.553166999999995</v>
          </cell>
          <cell r="F120">
            <v>36.88516700000001</v>
          </cell>
          <cell r="G120">
            <v>33.278166999999989</v>
          </cell>
          <cell r="H120">
            <v>23.083167</v>
          </cell>
          <cell r="I120">
            <v>20.571167000000038</v>
          </cell>
          <cell r="J120">
            <v>27.484167000000028</v>
          </cell>
          <cell r="K120">
            <v>43.337167000000044</v>
          </cell>
          <cell r="L120">
            <v>39.953167000000015</v>
          </cell>
          <cell r="M120">
            <v>26.416166999999991</v>
          </cell>
          <cell r="N120">
            <v>15.048166999999998</v>
          </cell>
          <cell r="O120">
            <v>25.061167000000026</v>
          </cell>
          <cell r="P120">
            <v>35.321166999999996</v>
          </cell>
        </row>
        <row r="121">
          <cell r="A121">
            <v>119</v>
          </cell>
          <cell r="C121" t="str">
            <v>EPS</v>
          </cell>
          <cell r="E121">
            <v>0.13381499056603771</v>
          </cell>
          <cell r="F121">
            <v>0.11599109119496857</v>
          </cell>
          <cell r="G121">
            <v>0.10464832389937104</v>
          </cell>
          <cell r="H121">
            <v>7.2588575471698114E-2</v>
          </cell>
          <cell r="I121">
            <v>6.468920440251584E-2</v>
          </cell>
          <cell r="J121">
            <v>8.6428198113207635E-2</v>
          </cell>
          <cell r="K121">
            <v>0.13628039937106931</v>
          </cell>
          <cell r="L121">
            <v>0.12563888993710698</v>
          </cell>
          <cell r="M121">
            <v>8.3069707547169788E-2</v>
          </cell>
          <cell r="N121">
            <v>4.7321279874213834E-2</v>
          </cell>
          <cell r="O121">
            <v>7.8808701257861713E-2</v>
          </cell>
          <cell r="P121">
            <v>0.11107285220125784</v>
          </cell>
        </row>
        <row r="122">
          <cell r="A122">
            <v>120</v>
          </cell>
        </row>
        <row r="123">
          <cell r="A123">
            <v>121</v>
          </cell>
          <cell r="C123" t="str">
            <v>QTD</v>
          </cell>
        </row>
        <row r="124">
          <cell r="A124">
            <v>122</v>
          </cell>
          <cell r="C124" t="str">
            <v xml:space="preserve">Revenues </v>
          </cell>
          <cell r="E124">
            <v>360.439187</v>
          </cell>
          <cell r="F124">
            <v>688.566374</v>
          </cell>
          <cell r="G124">
            <v>1003.4466219999999</v>
          </cell>
          <cell r="H124">
            <v>268.54424799999998</v>
          </cell>
          <cell r="I124">
            <v>521.13649600000008</v>
          </cell>
          <cell r="J124">
            <v>800.29874400000017</v>
          </cell>
          <cell r="K124">
            <v>329.47524800000002</v>
          </cell>
          <cell r="L124">
            <v>643.66341499999999</v>
          </cell>
          <cell r="M124">
            <v>908.65858200000002</v>
          </cell>
          <cell r="N124">
            <v>241.535167</v>
          </cell>
          <cell r="O124">
            <v>513.84333400000003</v>
          </cell>
          <cell r="P124">
            <v>830.95550100000003</v>
          </cell>
        </row>
        <row r="125">
          <cell r="A125">
            <v>123</v>
          </cell>
          <cell r="C125" t="str">
            <v xml:space="preserve">Purchased Power/Fuel/GRT </v>
          </cell>
          <cell r="E125">
            <v>167.20399999999998</v>
          </cell>
          <cell r="F125">
            <v>319.33199999999999</v>
          </cell>
          <cell r="G125">
            <v>462.93700000000001</v>
          </cell>
          <cell r="H125">
            <v>117.68</v>
          </cell>
          <cell r="I125">
            <v>222.49099999999999</v>
          </cell>
          <cell r="J125">
            <v>334.46600000000001</v>
          </cell>
          <cell r="K125">
            <v>133.268</v>
          </cell>
          <cell r="L125">
            <v>257.27100000000002</v>
          </cell>
          <cell r="M125">
            <v>359.58699999999999</v>
          </cell>
          <cell r="N125">
            <v>97.83</v>
          </cell>
          <cell r="O125">
            <v>213.99299999999999</v>
          </cell>
          <cell r="P125">
            <v>353.65899999999999</v>
          </cell>
        </row>
        <row r="126">
          <cell r="A126">
            <v>124</v>
          </cell>
          <cell r="C126" t="str">
            <v>Direct Expenses</v>
          </cell>
          <cell r="E126">
            <v>11.564</v>
          </cell>
          <cell r="F126">
            <v>22.756</v>
          </cell>
          <cell r="G126">
            <v>34.578000000000003</v>
          </cell>
          <cell r="H126">
            <v>11.262</v>
          </cell>
          <cell r="I126">
            <v>22.338999999999999</v>
          </cell>
          <cell r="J126">
            <v>32.914999999999999</v>
          </cell>
          <cell r="K126">
            <v>10.715</v>
          </cell>
          <cell r="L126">
            <v>21.637</v>
          </cell>
          <cell r="M126">
            <v>32.11</v>
          </cell>
          <cell r="N126">
            <v>10.901</v>
          </cell>
          <cell r="O126">
            <v>22.163</v>
          </cell>
          <cell r="P126">
            <v>33.091000000000001</v>
          </cell>
        </row>
        <row r="127">
          <cell r="A127">
            <v>125</v>
          </cell>
          <cell r="C127" t="str">
            <v>Indirect Expenses</v>
          </cell>
          <cell r="E127">
            <v>7.633</v>
          </cell>
          <cell r="F127">
            <v>14.96</v>
          </cell>
          <cell r="G127">
            <v>23.163</v>
          </cell>
          <cell r="H127">
            <v>7.782</v>
          </cell>
          <cell r="I127">
            <v>15.323</v>
          </cell>
          <cell r="J127">
            <v>22.920999999999999</v>
          </cell>
          <cell r="K127">
            <v>7.5330000000000004</v>
          </cell>
          <cell r="L127">
            <v>15.536999999999999</v>
          </cell>
          <cell r="M127">
            <v>23.074999999999999</v>
          </cell>
          <cell r="N127">
            <v>9.1609999999999996</v>
          </cell>
          <cell r="O127">
            <v>16.704999999999998</v>
          </cell>
          <cell r="P127">
            <v>24.290999999999997</v>
          </cell>
        </row>
        <row r="128">
          <cell r="A128">
            <v>126</v>
          </cell>
          <cell r="C128" t="str">
            <v>SG &amp;A</v>
          </cell>
          <cell r="E128">
            <v>23.55602</v>
          </cell>
          <cell r="F128">
            <v>42.118039999999993</v>
          </cell>
          <cell r="G128">
            <v>60.217120999999992</v>
          </cell>
          <cell r="H128">
            <v>17.332080999999999</v>
          </cell>
          <cell r="I128">
            <v>34.903161999999995</v>
          </cell>
          <cell r="J128">
            <v>56.896242999999998</v>
          </cell>
          <cell r="K128">
            <v>21.280080999999999</v>
          </cell>
          <cell r="L128">
            <v>42.777080999999995</v>
          </cell>
          <cell r="M128">
            <v>63.526080999999991</v>
          </cell>
          <cell r="N128">
            <v>21.39</v>
          </cell>
          <cell r="O128">
            <v>39.402999999999999</v>
          </cell>
          <cell r="P128">
            <v>60.114999999999995</v>
          </cell>
        </row>
        <row r="129">
          <cell r="A129">
            <v>127</v>
          </cell>
          <cell r="C129" t="str">
            <v>BSC</v>
          </cell>
          <cell r="E129">
            <v>4.0720000000000001</v>
          </cell>
          <cell r="F129">
            <v>8.141</v>
          </cell>
          <cell r="G129">
            <v>12.408999999999999</v>
          </cell>
          <cell r="H129">
            <v>4.0640000000000001</v>
          </cell>
          <cell r="I129">
            <v>8.1269999999999989</v>
          </cell>
          <cell r="J129">
            <v>12.388999999999999</v>
          </cell>
          <cell r="K129">
            <v>4.0739999999999998</v>
          </cell>
          <cell r="L129">
            <v>8.1470000000000002</v>
          </cell>
          <cell r="M129">
            <v>12.419</v>
          </cell>
          <cell r="N129">
            <v>4.048</v>
          </cell>
          <cell r="O129">
            <v>8.0970000000000013</v>
          </cell>
          <cell r="P129">
            <v>12.351000000000001</v>
          </cell>
        </row>
        <row r="130">
          <cell r="A130">
            <v>128</v>
          </cell>
          <cell r="C130" t="str">
            <v>Corp Center Allocation</v>
          </cell>
          <cell r="E130">
            <v>2.367</v>
          </cell>
          <cell r="F130">
            <v>4.734</v>
          </cell>
          <cell r="G130">
            <v>7.101</v>
          </cell>
          <cell r="H130">
            <v>2.367</v>
          </cell>
          <cell r="I130">
            <v>4.734</v>
          </cell>
          <cell r="J130">
            <v>7.101</v>
          </cell>
          <cell r="K130">
            <v>2.367</v>
          </cell>
          <cell r="L130">
            <v>4.734</v>
          </cell>
          <cell r="M130">
            <v>7.101</v>
          </cell>
          <cell r="N130">
            <v>2.367</v>
          </cell>
          <cell r="O130">
            <v>4.734</v>
          </cell>
          <cell r="P130">
            <v>7.101</v>
          </cell>
        </row>
        <row r="131">
          <cell r="A131">
            <v>129</v>
          </cell>
          <cell r="C131" t="str">
            <v>Earnings from Invest.Equity(enter income as neg)</v>
          </cell>
          <cell r="E131">
            <v>0</v>
          </cell>
          <cell r="F131">
            <v>0</v>
          </cell>
          <cell r="G131">
            <v>0</v>
          </cell>
          <cell r="H131">
            <v>0</v>
          </cell>
          <cell r="I131">
            <v>0</v>
          </cell>
          <cell r="J131">
            <v>0</v>
          </cell>
          <cell r="K131">
            <v>0</v>
          </cell>
          <cell r="L131">
            <v>0</v>
          </cell>
          <cell r="M131">
            <v>0</v>
          </cell>
          <cell r="N131">
            <v>0</v>
          </cell>
          <cell r="O131">
            <v>0</v>
          </cell>
          <cell r="P131">
            <v>0</v>
          </cell>
        </row>
        <row r="132">
          <cell r="A132">
            <v>130</v>
          </cell>
          <cell r="C132" t="str">
            <v>Loss/(Gain) on Assets Disposal</v>
          </cell>
          <cell r="E132">
            <v>0</v>
          </cell>
          <cell r="F132">
            <v>0</v>
          </cell>
          <cell r="G132">
            <v>0</v>
          </cell>
          <cell r="H132">
            <v>0</v>
          </cell>
          <cell r="I132">
            <v>0</v>
          </cell>
          <cell r="J132">
            <v>0</v>
          </cell>
          <cell r="K132">
            <v>0</v>
          </cell>
          <cell r="L132">
            <v>0</v>
          </cell>
          <cell r="M132">
            <v>0</v>
          </cell>
          <cell r="N132">
            <v>0</v>
          </cell>
          <cell r="O132">
            <v>0</v>
          </cell>
          <cell r="P132">
            <v>0</v>
          </cell>
        </row>
        <row r="133">
          <cell r="A133">
            <v>131</v>
          </cell>
          <cell r="C133" t="str">
            <v>Other Operating Expenses</v>
          </cell>
          <cell r="E133">
            <v>0</v>
          </cell>
          <cell r="F133">
            <v>0</v>
          </cell>
          <cell r="G133">
            <v>0</v>
          </cell>
          <cell r="H133">
            <v>0</v>
          </cell>
          <cell r="I133">
            <v>0</v>
          </cell>
          <cell r="J133">
            <v>0</v>
          </cell>
          <cell r="K133">
            <v>0</v>
          </cell>
          <cell r="L133">
            <v>0</v>
          </cell>
          <cell r="M133">
            <v>0</v>
          </cell>
          <cell r="N133">
            <v>0</v>
          </cell>
          <cell r="O133">
            <v>0</v>
          </cell>
          <cell r="P133">
            <v>0</v>
          </cell>
        </row>
        <row r="134">
          <cell r="A134">
            <v>132</v>
          </cell>
          <cell r="C134" t="str">
            <v>TOTI, Other Operating Income</v>
          </cell>
          <cell r="E134">
            <v>3.5760000000000001</v>
          </cell>
          <cell r="F134">
            <v>7.0979999999999999</v>
          </cell>
          <cell r="G134">
            <v>10.705</v>
          </cell>
          <cell r="H134">
            <v>3.552</v>
          </cell>
          <cell r="I134">
            <v>7.1449999999999996</v>
          </cell>
          <cell r="J134">
            <v>10.75</v>
          </cell>
          <cell r="K134">
            <v>3.5830000000000002</v>
          </cell>
          <cell r="L134">
            <v>7.19</v>
          </cell>
          <cell r="M134">
            <v>10.77</v>
          </cell>
          <cell r="N134">
            <v>3.5910000000000002</v>
          </cell>
          <cell r="O134">
            <v>7.165</v>
          </cell>
          <cell r="P134">
            <v>10.741</v>
          </cell>
        </row>
        <row r="135">
          <cell r="A135">
            <v>133</v>
          </cell>
          <cell r="C135" t="str">
            <v>Total O&amp;M, Other</v>
          </cell>
          <cell r="E135">
            <v>52.76802</v>
          </cell>
          <cell r="F135">
            <v>99.807039999999986</v>
          </cell>
          <cell r="G135">
            <v>148.17312100000001</v>
          </cell>
          <cell r="H135">
            <v>46.359080999999996</v>
          </cell>
          <cell r="I135">
            <v>92.571161999999973</v>
          </cell>
          <cell r="J135">
            <v>142.97224299999999</v>
          </cell>
          <cell r="K135">
            <v>49.552080999999994</v>
          </cell>
          <cell r="L135">
            <v>100.02208099999999</v>
          </cell>
          <cell r="M135">
            <v>149.001081</v>
          </cell>
          <cell r="N135">
            <v>51.457999999999998</v>
          </cell>
          <cell r="O135">
            <v>98.266999999999996</v>
          </cell>
          <cell r="P135">
            <v>147.69</v>
          </cell>
        </row>
        <row r="136">
          <cell r="A136">
            <v>134</v>
          </cell>
          <cell r="C136" t="str">
            <v>D&amp;A</v>
          </cell>
          <cell r="E136">
            <v>34.511000000000003</v>
          </cell>
          <cell r="F136">
            <v>66.657000000000011</v>
          </cell>
          <cell r="G136">
            <v>98.570000000000022</v>
          </cell>
          <cell r="H136">
            <v>29.951999999999998</v>
          </cell>
          <cell r="I136">
            <v>61.019999999999996</v>
          </cell>
          <cell r="J136">
            <v>96.155000000000001</v>
          </cell>
          <cell r="K136">
            <v>39.435000000000002</v>
          </cell>
          <cell r="L136">
            <v>77.388000000000005</v>
          </cell>
          <cell r="M136">
            <v>111.15900000000001</v>
          </cell>
          <cell r="N136">
            <v>30.654000000000003</v>
          </cell>
          <cell r="O136">
            <v>62.247000000000007</v>
          </cell>
          <cell r="P136">
            <v>95.979000000000013</v>
          </cell>
        </row>
        <row r="137">
          <cell r="A137">
            <v>135</v>
          </cell>
          <cell r="C137" t="str">
            <v>Net Income</v>
          </cell>
          <cell r="E137">
            <v>42.553166999999995</v>
          </cell>
          <cell r="F137">
            <v>79.438333999999998</v>
          </cell>
          <cell r="G137">
            <v>112.71650099999999</v>
          </cell>
          <cell r="H137">
            <v>23.083167</v>
          </cell>
          <cell r="I137">
            <v>43.654334000000034</v>
          </cell>
          <cell r="J137">
            <v>71.138501000000062</v>
          </cell>
          <cell r="K137">
            <v>43.337167000000044</v>
          </cell>
          <cell r="L137">
            <v>83.290334000000058</v>
          </cell>
          <cell r="M137">
            <v>109.70650100000005</v>
          </cell>
          <cell r="N137">
            <v>15.048166999999998</v>
          </cell>
          <cell r="O137">
            <v>40.109334000000025</v>
          </cell>
          <cell r="P137">
            <v>75.430501000000021</v>
          </cell>
        </row>
        <row r="138">
          <cell r="A138">
            <v>136</v>
          </cell>
          <cell r="C138" t="str">
            <v>EPS</v>
          </cell>
          <cell r="E138">
            <v>0.13381499056603771</v>
          </cell>
          <cell r="F138">
            <v>0.24980608176100627</v>
          </cell>
          <cell r="G138">
            <v>0.35445440566037734</v>
          </cell>
          <cell r="H138">
            <v>7.2588575471698114E-2</v>
          </cell>
          <cell r="I138">
            <v>0.13727777987421397</v>
          </cell>
          <cell r="J138">
            <v>0.22370597798742159</v>
          </cell>
          <cell r="K138">
            <v>0.13628039937106931</v>
          </cell>
          <cell r="L138">
            <v>0.26191928930817632</v>
          </cell>
          <cell r="M138">
            <v>0.34498899685534612</v>
          </cell>
          <cell r="N138">
            <v>4.7321279874213834E-2</v>
          </cell>
          <cell r="O138">
            <v>0.12612998113207555</v>
          </cell>
          <cell r="P138">
            <v>0.23720283333333339</v>
          </cell>
        </row>
        <row r="139">
          <cell r="A139">
            <v>137</v>
          </cell>
        </row>
        <row r="140">
          <cell r="A140">
            <v>138</v>
          </cell>
          <cell r="C140" t="str">
            <v>YTD</v>
          </cell>
        </row>
        <row r="141">
          <cell r="A141">
            <v>139</v>
          </cell>
          <cell r="C141" t="str">
            <v xml:space="preserve">Revenues </v>
          </cell>
          <cell r="E141">
            <v>360.439187</v>
          </cell>
          <cell r="F141">
            <v>688.566374</v>
          </cell>
          <cell r="G141">
            <v>1003.4466219999999</v>
          </cell>
          <cell r="H141">
            <v>1271.9908699999999</v>
          </cell>
          <cell r="I141">
            <v>1524.583118</v>
          </cell>
          <cell r="J141">
            <v>1803.7453660000001</v>
          </cell>
          <cell r="K141">
            <v>2133.2206140000003</v>
          </cell>
          <cell r="L141">
            <v>2447.4087810000001</v>
          </cell>
          <cell r="M141">
            <v>2712.4039480000001</v>
          </cell>
          <cell r="N141">
            <v>2953.9391150000001</v>
          </cell>
          <cell r="O141">
            <v>3226.2472820000003</v>
          </cell>
          <cell r="P141">
            <v>3543.3594490000005</v>
          </cell>
        </row>
        <row r="142">
          <cell r="A142">
            <v>140</v>
          </cell>
          <cell r="C142" t="str">
            <v xml:space="preserve">Purchased Power/Fuel/GRT </v>
          </cell>
          <cell r="E142">
            <v>167.20399999999998</v>
          </cell>
          <cell r="F142">
            <v>319.33199999999999</v>
          </cell>
          <cell r="G142">
            <v>462.93700000000001</v>
          </cell>
          <cell r="H142">
            <v>580.61699999999996</v>
          </cell>
          <cell r="I142">
            <v>685.428</v>
          </cell>
          <cell r="J142">
            <v>797.40300000000002</v>
          </cell>
          <cell r="K142">
            <v>930.67100000000005</v>
          </cell>
          <cell r="L142">
            <v>1054.674</v>
          </cell>
          <cell r="M142">
            <v>1156.99</v>
          </cell>
          <cell r="N142">
            <v>1254.82</v>
          </cell>
          <cell r="O142">
            <v>1370.9829999999999</v>
          </cell>
          <cell r="P142">
            <v>1510.6489999999999</v>
          </cell>
        </row>
        <row r="143">
          <cell r="A143">
            <v>141</v>
          </cell>
          <cell r="C143" t="str">
            <v>Direct Expenses</v>
          </cell>
          <cell r="E143">
            <v>11.564</v>
          </cell>
          <cell r="F143">
            <v>22.756</v>
          </cell>
          <cell r="G143">
            <v>34.578000000000003</v>
          </cell>
          <cell r="H143">
            <v>45.84</v>
          </cell>
          <cell r="I143">
            <v>56.917000000000002</v>
          </cell>
          <cell r="J143">
            <v>67.492999999999995</v>
          </cell>
          <cell r="K143">
            <v>78.207999999999998</v>
          </cell>
          <cell r="L143">
            <v>89.13</v>
          </cell>
          <cell r="M143">
            <v>99.602999999999994</v>
          </cell>
          <cell r="N143">
            <v>110.50399999999999</v>
          </cell>
          <cell r="O143">
            <v>121.76599999999999</v>
          </cell>
          <cell r="P143">
            <v>132.69399999999999</v>
          </cell>
        </row>
        <row r="144">
          <cell r="A144">
            <v>142</v>
          </cell>
          <cell r="C144" t="str">
            <v>Indirect Expenses</v>
          </cell>
          <cell r="E144">
            <v>7.633</v>
          </cell>
          <cell r="F144">
            <v>14.96</v>
          </cell>
          <cell r="G144">
            <v>23.163</v>
          </cell>
          <cell r="H144">
            <v>30.945</v>
          </cell>
          <cell r="I144">
            <v>38.486000000000004</v>
          </cell>
          <cell r="J144">
            <v>46.084000000000003</v>
          </cell>
          <cell r="K144">
            <v>53.617000000000004</v>
          </cell>
          <cell r="L144">
            <v>61.621000000000002</v>
          </cell>
          <cell r="M144">
            <v>69.159000000000006</v>
          </cell>
          <cell r="N144">
            <v>78.320000000000007</v>
          </cell>
          <cell r="O144">
            <v>85.864000000000004</v>
          </cell>
          <cell r="P144">
            <v>93.45</v>
          </cell>
        </row>
        <row r="145">
          <cell r="A145">
            <v>143</v>
          </cell>
          <cell r="C145" t="str">
            <v>SG &amp;A</v>
          </cell>
          <cell r="E145">
            <v>23.55602</v>
          </cell>
          <cell r="F145">
            <v>42.118039999999993</v>
          </cell>
          <cell r="G145">
            <v>60.217120999999992</v>
          </cell>
          <cell r="H145">
            <v>77.549201999999994</v>
          </cell>
          <cell r="I145">
            <v>95.120283000000001</v>
          </cell>
          <cell r="J145">
            <v>117.113364</v>
          </cell>
          <cell r="K145">
            <v>138.39344500000001</v>
          </cell>
          <cell r="L145">
            <v>159.890445</v>
          </cell>
          <cell r="M145">
            <v>180.63944499999999</v>
          </cell>
          <cell r="N145">
            <v>202.02944500000001</v>
          </cell>
          <cell r="O145">
            <v>220.04244500000001</v>
          </cell>
          <cell r="P145">
            <v>240.754445</v>
          </cell>
        </row>
        <row r="146">
          <cell r="A146">
            <v>144</v>
          </cell>
          <cell r="C146" t="str">
            <v>BSC</v>
          </cell>
          <cell r="E146">
            <v>4.0720000000000001</v>
          </cell>
          <cell r="F146">
            <v>8.141</v>
          </cell>
          <cell r="G146">
            <v>12.408999999999999</v>
          </cell>
          <cell r="H146">
            <v>16.472999999999999</v>
          </cell>
          <cell r="I146">
            <v>20.535999999999998</v>
          </cell>
          <cell r="J146">
            <v>24.797999999999998</v>
          </cell>
          <cell r="K146">
            <v>28.872</v>
          </cell>
          <cell r="L146">
            <v>32.945</v>
          </cell>
          <cell r="M146">
            <v>37.216999999999999</v>
          </cell>
          <cell r="N146">
            <v>41.265000000000001</v>
          </cell>
          <cell r="O146">
            <v>45.314</v>
          </cell>
          <cell r="P146">
            <v>49.567999999999998</v>
          </cell>
        </row>
        <row r="147">
          <cell r="A147">
            <v>145</v>
          </cell>
          <cell r="C147" t="str">
            <v>Corp Center Allocation</v>
          </cell>
          <cell r="E147">
            <v>2.367</v>
          </cell>
          <cell r="F147">
            <v>4.734</v>
          </cell>
          <cell r="G147">
            <v>7.101</v>
          </cell>
          <cell r="H147">
            <v>9.468</v>
          </cell>
          <cell r="I147">
            <v>11.835000000000001</v>
          </cell>
          <cell r="J147">
            <v>14.202000000000002</v>
          </cell>
          <cell r="K147">
            <v>16.569000000000003</v>
          </cell>
          <cell r="L147">
            <v>18.936000000000003</v>
          </cell>
          <cell r="M147">
            <v>21.303000000000004</v>
          </cell>
          <cell r="N147">
            <v>23.670000000000005</v>
          </cell>
          <cell r="O147">
            <v>26.037000000000006</v>
          </cell>
          <cell r="P147">
            <v>28.404000000000007</v>
          </cell>
        </row>
        <row r="148">
          <cell r="A148">
            <v>146</v>
          </cell>
          <cell r="C148" t="str">
            <v>Earnings from Invest.Equity(enter income as neg)</v>
          </cell>
          <cell r="E148">
            <v>0</v>
          </cell>
          <cell r="F148">
            <v>0</v>
          </cell>
          <cell r="G148">
            <v>0</v>
          </cell>
          <cell r="H148">
            <v>0</v>
          </cell>
          <cell r="I148">
            <v>0</v>
          </cell>
          <cell r="J148">
            <v>0</v>
          </cell>
          <cell r="K148">
            <v>0</v>
          </cell>
          <cell r="L148">
            <v>0</v>
          </cell>
          <cell r="M148">
            <v>0</v>
          </cell>
          <cell r="N148">
            <v>0</v>
          </cell>
          <cell r="O148">
            <v>0</v>
          </cell>
          <cell r="P148">
            <v>0</v>
          </cell>
        </row>
        <row r="149">
          <cell r="A149">
            <v>147</v>
          </cell>
          <cell r="C149" t="str">
            <v>Loss/(Gain) on Assets Disposal</v>
          </cell>
          <cell r="E149">
            <v>0</v>
          </cell>
          <cell r="F149">
            <v>0</v>
          </cell>
          <cell r="G149">
            <v>0</v>
          </cell>
          <cell r="H149">
            <v>0</v>
          </cell>
          <cell r="I149">
            <v>0</v>
          </cell>
          <cell r="J149">
            <v>0</v>
          </cell>
          <cell r="K149">
            <v>0</v>
          </cell>
          <cell r="L149">
            <v>0</v>
          </cell>
          <cell r="M149">
            <v>0</v>
          </cell>
          <cell r="N149">
            <v>0</v>
          </cell>
          <cell r="O149">
            <v>0</v>
          </cell>
          <cell r="P149">
            <v>0</v>
          </cell>
        </row>
        <row r="150">
          <cell r="A150">
            <v>148</v>
          </cell>
          <cell r="C150" t="str">
            <v>Other Operating Expenses</v>
          </cell>
          <cell r="E150">
            <v>0</v>
          </cell>
          <cell r="F150">
            <v>0</v>
          </cell>
          <cell r="G150">
            <v>0</v>
          </cell>
          <cell r="H150">
            <v>0</v>
          </cell>
          <cell r="I150">
            <v>0</v>
          </cell>
          <cell r="J150">
            <v>0</v>
          </cell>
          <cell r="K150">
            <v>0</v>
          </cell>
          <cell r="L150">
            <v>0</v>
          </cell>
          <cell r="M150">
            <v>0</v>
          </cell>
          <cell r="N150">
            <v>0</v>
          </cell>
          <cell r="O150">
            <v>0</v>
          </cell>
          <cell r="P150">
            <v>0</v>
          </cell>
        </row>
        <row r="151">
          <cell r="A151">
            <v>149</v>
          </cell>
          <cell r="C151" t="str">
            <v>TOTI, Other Operating Income</v>
          </cell>
          <cell r="E151">
            <v>3.5760000000000001</v>
          </cell>
          <cell r="F151">
            <v>7.0979999999999999</v>
          </cell>
          <cell r="G151">
            <v>10.705</v>
          </cell>
          <cell r="H151">
            <v>14.257</v>
          </cell>
          <cell r="I151">
            <v>17.850000000000001</v>
          </cell>
          <cell r="J151">
            <v>21.455000000000002</v>
          </cell>
          <cell r="K151">
            <v>25.038000000000004</v>
          </cell>
          <cell r="L151">
            <v>28.645000000000003</v>
          </cell>
          <cell r="M151">
            <v>32.225000000000001</v>
          </cell>
          <cell r="N151">
            <v>35.816000000000003</v>
          </cell>
          <cell r="O151">
            <v>39.39</v>
          </cell>
          <cell r="P151">
            <v>42.966000000000001</v>
          </cell>
        </row>
        <row r="152">
          <cell r="A152">
            <v>150</v>
          </cell>
          <cell r="C152" t="str">
            <v>Total O&amp;M, Other</v>
          </cell>
          <cell r="E152">
            <v>52.76802</v>
          </cell>
          <cell r="F152">
            <v>99.807039999999986</v>
          </cell>
          <cell r="G152">
            <v>148.17312100000001</v>
          </cell>
          <cell r="H152">
            <v>194.53220200000001</v>
          </cell>
          <cell r="I152">
            <v>240.744283</v>
          </cell>
          <cell r="J152">
            <v>291.14536399999997</v>
          </cell>
          <cell r="K152">
            <v>340.69744500000002</v>
          </cell>
          <cell r="L152">
            <v>391.16744499999993</v>
          </cell>
          <cell r="M152">
            <v>440.14644499999997</v>
          </cell>
          <cell r="N152">
            <v>491.60444500000006</v>
          </cell>
          <cell r="O152">
            <v>538.41344500000002</v>
          </cell>
          <cell r="P152">
            <v>587.83644500000003</v>
          </cell>
        </row>
        <row r="153">
          <cell r="A153">
            <v>151</v>
          </cell>
          <cell r="C153" t="str">
            <v>D&amp;A</v>
          </cell>
          <cell r="E153">
            <v>34.511000000000003</v>
          </cell>
          <cell r="F153">
            <v>66.657000000000011</v>
          </cell>
          <cell r="G153">
            <v>98.570000000000022</v>
          </cell>
          <cell r="H153">
            <v>128.52200000000002</v>
          </cell>
          <cell r="I153">
            <v>159.59000000000003</v>
          </cell>
          <cell r="J153">
            <v>194.72500000000002</v>
          </cell>
          <cell r="K153">
            <v>234.16000000000003</v>
          </cell>
          <cell r="L153">
            <v>272.11300000000006</v>
          </cell>
          <cell r="M153">
            <v>305.88400000000007</v>
          </cell>
          <cell r="N153">
            <v>336.53800000000007</v>
          </cell>
          <cell r="O153">
            <v>368.13100000000009</v>
          </cell>
          <cell r="P153">
            <v>401.86300000000006</v>
          </cell>
        </row>
        <row r="154">
          <cell r="A154">
            <v>152</v>
          </cell>
          <cell r="C154" t="str">
            <v>Interest Expense</v>
          </cell>
          <cell r="E154">
            <v>36.084000000000003</v>
          </cell>
          <cell r="F154">
            <v>72.168000000000006</v>
          </cell>
          <cell r="G154">
            <v>108.25200000000001</v>
          </cell>
          <cell r="H154">
            <v>144.33600000000001</v>
          </cell>
          <cell r="I154">
            <v>180.42000000000002</v>
          </cell>
          <cell r="J154">
            <v>216.50400000000002</v>
          </cell>
          <cell r="K154">
            <v>252.58800000000002</v>
          </cell>
          <cell r="L154">
            <v>288.67200000000003</v>
          </cell>
          <cell r="M154">
            <v>324.75600000000003</v>
          </cell>
          <cell r="N154">
            <v>360.84000000000003</v>
          </cell>
          <cell r="O154">
            <v>396.92400000000004</v>
          </cell>
          <cell r="P154">
            <v>433.00800000000004</v>
          </cell>
        </row>
        <row r="155">
          <cell r="A155">
            <v>153</v>
          </cell>
          <cell r="C155" t="str">
            <v>Taxes</v>
          </cell>
          <cell r="E155">
            <v>26.55</v>
          </cell>
          <cell r="F155">
            <v>49.626000000000005</v>
          </cell>
          <cell r="G155">
            <v>70.491</v>
          </cell>
          <cell r="H155">
            <v>85.108000000000004</v>
          </cell>
          <cell r="I155">
            <v>98.185000000000002</v>
          </cell>
          <cell r="J155">
            <v>115.499</v>
          </cell>
          <cell r="K155">
            <v>142.529</v>
          </cell>
          <cell r="L155">
            <v>167.48499999999999</v>
          </cell>
          <cell r="M155">
            <v>184.14499999999998</v>
          </cell>
          <cell r="N155">
            <v>193.83699999999999</v>
          </cell>
          <cell r="O155">
            <v>209.666</v>
          </cell>
          <cell r="P155">
            <v>231.78299999999999</v>
          </cell>
        </row>
        <row r="156">
          <cell r="A156">
            <v>154</v>
          </cell>
          <cell r="C156" t="str">
            <v>Preferred Stock Dividends</v>
          </cell>
          <cell r="E156">
            <v>0.76900000000000002</v>
          </cell>
          <cell r="F156">
            <v>1.538</v>
          </cell>
          <cell r="G156">
            <v>2.3069999999999999</v>
          </cell>
          <cell r="H156">
            <v>3.0760000000000001</v>
          </cell>
          <cell r="I156">
            <v>3.8450000000000002</v>
          </cell>
          <cell r="J156">
            <v>4.6139999999999999</v>
          </cell>
          <cell r="K156">
            <v>5.383</v>
          </cell>
          <cell r="L156">
            <v>6.1520000000000001</v>
          </cell>
          <cell r="M156">
            <v>6.9210000000000003</v>
          </cell>
          <cell r="N156">
            <v>7.69</v>
          </cell>
          <cell r="O156">
            <v>8.4589999999999996</v>
          </cell>
          <cell r="P156">
            <v>9.2279999999999998</v>
          </cell>
        </row>
        <row r="157">
          <cell r="A157">
            <v>155</v>
          </cell>
          <cell r="C157" t="str">
            <v>Net Income</v>
          </cell>
          <cell r="E157">
            <v>42.553166999999995</v>
          </cell>
          <cell r="F157">
            <v>79.438333999999998</v>
          </cell>
          <cell r="G157">
            <v>112.71650099999999</v>
          </cell>
          <cell r="H157">
            <v>135.799668</v>
          </cell>
          <cell r="I157">
            <v>156.37083500000003</v>
          </cell>
          <cell r="J157">
            <v>183.85500200000007</v>
          </cell>
          <cell r="K157">
            <v>227.19216900000012</v>
          </cell>
          <cell r="L157">
            <v>267.14533600000016</v>
          </cell>
          <cell r="M157">
            <v>293.56150300000013</v>
          </cell>
          <cell r="N157">
            <v>308.60967000000011</v>
          </cell>
          <cell r="O157">
            <v>333.67083700000012</v>
          </cell>
          <cell r="P157">
            <v>368.99200400000012</v>
          </cell>
        </row>
        <row r="158">
          <cell r="A158">
            <v>156</v>
          </cell>
          <cell r="C158" t="str">
            <v>EPS</v>
          </cell>
          <cell r="E158">
            <v>0.13381499056603771</v>
          </cell>
          <cell r="F158">
            <v>0.24980608176100627</v>
          </cell>
          <cell r="G158">
            <v>0.35445440566037734</v>
          </cell>
          <cell r="H158">
            <v>0.42704298113207545</v>
          </cell>
          <cell r="I158">
            <v>0.4917321855345913</v>
          </cell>
          <cell r="J158">
            <v>0.57816038364779898</v>
          </cell>
          <cell r="K158">
            <v>0.71444078301886826</v>
          </cell>
          <cell r="L158">
            <v>0.84007967295597519</v>
          </cell>
          <cell r="M158">
            <v>0.92314938050314499</v>
          </cell>
          <cell r="N158">
            <v>0.97047066037735885</v>
          </cell>
          <cell r="O158">
            <v>1.0492793616352205</v>
          </cell>
          <cell r="P158">
            <v>1.1603522138364784</v>
          </cell>
        </row>
        <row r="159">
          <cell r="A159">
            <v>157</v>
          </cell>
        </row>
        <row r="160">
          <cell r="A160">
            <v>158</v>
          </cell>
          <cell r="B160" t="str">
            <v>LE Calculations</v>
          </cell>
        </row>
        <row r="161">
          <cell r="A161">
            <v>159</v>
          </cell>
          <cell r="C161" t="str">
            <v>YTD Sales &amp; Delivery Volumes</v>
          </cell>
        </row>
        <row r="162">
          <cell r="A162">
            <v>160</v>
          </cell>
          <cell r="C162" t="str">
            <v>3-9 LE Delivery</v>
          </cell>
          <cell r="E162">
            <v>3168.4965740000002</v>
          </cell>
          <cell r="F162">
            <v>5919.0495030000002</v>
          </cell>
          <cell r="G162">
            <v>8823.1720440000008</v>
          </cell>
          <cell r="H162">
            <v>11354.874483760605</v>
          </cell>
          <cell r="I162">
            <v>14015.949267577973</v>
          </cell>
          <cell r="J162">
            <v>16967.701839557933</v>
          </cell>
          <cell r="K162">
            <v>20423.98519497463</v>
          </cell>
          <cell r="L162">
            <v>23741.501297071438</v>
          </cell>
          <cell r="M162">
            <v>26545.75856270935</v>
          </cell>
          <cell r="N162">
            <v>29196.745888888199</v>
          </cell>
          <cell r="O162">
            <v>31903.966103569361</v>
          </cell>
          <cell r="P162">
            <v>34975.324352729927</v>
          </cell>
        </row>
        <row r="163">
          <cell r="A163">
            <v>161</v>
          </cell>
          <cell r="C163" t="str">
            <v>6-6 LE Delivery</v>
          </cell>
          <cell r="E163">
            <v>3168.4965740000002</v>
          </cell>
          <cell r="F163">
            <v>5919.0495030000002</v>
          </cell>
          <cell r="G163">
            <v>8823.1720440000008</v>
          </cell>
          <cell r="H163">
            <v>11418.346059000001</v>
          </cell>
          <cell r="I163">
            <v>14135.039027000001</v>
          </cell>
          <cell r="J163">
            <v>17289.744119000003</v>
          </cell>
          <cell r="K163">
            <v>20788.362993604958</v>
          </cell>
          <cell r="L163">
            <v>24144.81212763389</v>
          </cell>
          <cell r="M163">
            <v>26979.971041688124</v>
          </cell>
          <cell r="N163">
            <v>29658.875667869044</v>
          </cell>
          <cell r="O163">
            <v>32390.852213621383</v>
          </cell>
          <cell r="P163">
            <v>35483.991118784892</v>
          </cell>
        </row>
        <row r="164">
          <cell r="A164">
            <v>162</v>
          </cell>
          <cell r="C164" t="str">
            <v>7-5 LE Delivery</v>
          </cell>
          <cell r="E164">
            <v>0</v>
          </cell>
          <cell r="F164">
            <v>0</v>
          </cell>
          <cell r="G164">
            <v>0</v>
          </cell>
          <cell r="H164">
            <v>0</v>
          </cell>
          <cell r="I164">
            <v>0</v>
          </cell>
          <cell r="J164">
            <v>0</v>
          </cell>
          <cell r="K164">
            <v>0</v>
          </cell>
          <cell r="L164">
            <v>0</v>
          </cell>
          <cell r="M164">
            <v>0</v>
          </cell>
          <cell r="N164">
            <v>0</v>
          </cell>
          <cell r="O164">
            <v>0</v>
          </cell>
          <cell r="P164">
            <v>0</v>
          </cell>
        </row>
        <row r="165">
          <cell r="A165">
            <v>163</v>
          </cell>
        </row>
        <row r="166">
          <cell r="A166">
            <v>164</v>
          </cell>
          <cell r="C166" t="str">
            <v>3-9 LE Sales</v>
          </cell>
          <cell r="E166">
            <v>2138.7043069999995</v>
          </cell>
          <cell r="F166">
            <v>4086.5385009999991</v>
          </cell>
          <cell r="G166">
            <v>6209.6767649999992</v>
          </cell>
          <cell r="H166">
            <v>7868.3534282151377</v>
          </cell>
          <cell r="I166">
            <v>9954.297632944621</v>
          </cell>
          <cell r="J166">
            <v>12668.131519405651</v>
          </cell>
          <cell r="K166">
            <v>15820.039475897815</v>
          </cell>
          <cell r="L166">
            <v>18842.779526874438</v>
          </cell>
          <cell r="M166">
            <v>21411.759758891167</v>
          </cell>
          <cell r="N166">
            <v>23857.874757668105</v>
          </cell>
          <cell r="O166">
            <v>26342.156889226731</v>
          </cell>
          <cell r="P166">
            <v>29148.062195653663</v>
          </cell>
        </row>
        <row r="167">
          <cell r="A167">
            <v>165</v>
          </cell>
          <cell r="C167" t="str">
            <v>6-6 LE Sales</v>
          </cell>
          <cell r="E167">
            <v>2138.7043069999995</v>
          </cell>
          <cell r="F167">
            <v>4086.5385009999991</v>
          </cell>
          <cell r="G167">
            <v>6209.6767649999992</v>
          </cell>
          <cell r="H167">
            <v>8007.0966759999992</v>
          </cell>
          <cell r="I167">
            <v>9951.6828219999989</v>
          </cell>
          <cell r="J167">
            <v>12570.442099</v>
          </cell>
          <cell r="K167">
            <v>15761.329431939537</v>
          </cell>
          <cell r="L167">
            <v>18819.708114839159</v>
          </cell>
          <cell r="M167">
            <v>21416.948175501977</v>
          </cell>
          <cell r="N167">
            <v>23888.83861054634</v>
          </cell>
          <cell r="O167">
            <v>26396.428021862914</v>
          </cell>
          <cell r="P167">
            <v>29223.615439816367</v>
          </cell>
        </row>
        <row r="168">
          <cell r="A168">
            <v>166</v>
          </cell>
          <cell r="C168" t="str">
            <v>7-5 LE Sales</v>
          </cell>
          <cell r="E168">
            <v>0</v>
          </cell>
          <cell r="F168">
            <v>0</v>
          </cell>
          <cell r="G168">
            <v>0</v>
          </cell>
          <cell r="H168">
            <v>0</v>
          </cell>
          <cell r="I168">
            <v>0</v>
          </cell>
          <cell r="J168">
            <v>0</v>
          </cell>
          <cell r="K168">
            <v>0</v>
          </cell>
          <cell r="L168">
            <v>0</v>
          </cell>
          <cell r="M168">
            <v>0</v>
          </cell>
          <cell r="N168">
            <v>0</v>
          </cell>
          <cell r="O168">
            <v>0</v>
          </cell>
          <cell r="P168">
            <v>0</v>
          </cell>
        </row>
        <row r="169">
          <cell r="A169">
            <v>167</v>
          </cell>
        </row>
        <row r="170">
          <cell r="A170">
            <v>168</v>
          </cell>
          <cell r="C170" t="str">
            <v>3-9 LE Gas</v>
          </cell>
          <cell r="E170">
            <v>11.112</v>
          </cell>
          <cell r="F170">
            <v>19.908000000000001</v>
          </cell>
          <cell r="G170">
            <v>28.270000000000003</v>
          </cell>
          <cell r="H170">
            <v>32.137</v>
          </cell>
          <cell r="I170">
            <v>34.323999999999998</v>
          </cell>
          <cell r="J170">
            <v>35.748999999999995</v>
          </cell>
          <cell r="K170">
            <v>37.031999999999996</v>
          </cell>
          <cell r="L170">
            <v>38.312999999999995</v>
          </cell>
          <cell r="M170">
            <v>39.875999999999998</v>
          </cell>
          <cell r="N170">
            <v>43.498999999999995</v>
          </cell>
          <cell r="O170">
            <v>49.974999999999994</v>
          </cell>
          <cell r="P170">
            <v>60.209999999999994</v>
          </cell>
        </row>
        <row r="171">
          <cell r="A171">
            <v>169</v>
          </cell>
          <cell r="C171" t="str">
            <v>6-6 LE Gas</v>
          </cell>
          <cell r="E171">
            <v>11.112</v>
          </cell>
          <cell r="F171">
            <v>19.908000000000001</v>
          </cell>
          <cell r="G171">
            <v>28.270000000000003</v>
          </cell>
          <cell r="H171">
            <v>32.137</v>
          </cell>
          <cell r="I171">
            <v>34.063000000000002</v>
          </cell>
          <cell r="J171">
            <v>35.468000000000004</v>
          </cell>
          <cell r="K171">
            <v>36.751000000000005</v>
          </cell>
          <cell r="L171">
            <v>38.032000000000004</v>
          </cell>
          <cell r="M171">
            <v>39.595000000000006</v>
          </cell>
          <cell r="N171">
            <v>43.218000000000004</v>
          </cell>
          <cell r="O171">
            <v>49.694000000000003</v>
          </cell>
          <cell r="P171">
            <v>59.929000000000002</v>
          </cell>
        </row>
        <row r="172">
          <cell r="A172">
            <v>170</v>
          </cell>
          <cell r="C172" t="str">
            <v>7-5 LE Gas</v>
          </cell>
          <cell r="E172">
            <v>0</v>
          </cell>
          <cell r="F172">
            <v>0</v>
          </cell>
          <cell r="G172">
            <v>0</v>
          </cell>
          <cell r="H172">
            <v>0</v>
          </cell>
          <cell r="I172">
            <v>0</v>
          </cell>
          <cell r="J172">
            <v>0</v>
          </cell>
          <cell r="K172">
            <v>0</v>
          </cell>
          <cell r="L172">
            <v>0</v>
          </cell>
          <cell r="M172">
            <v>0</v>
          </cell>
          <cell r="N172">
            <v>0</v>
          </cell>
          <cell r="O172">
            <v>0</v>
          </cell>
          <cell r="P172">
            <v>0</v>
          </cell>
        </row>
        <row r="173">
          <cell r="A173">
            <v>171</v>
          </cell>
        </row>
        <row r="174">
          <cell r="A174">
            <v>172</v>
          </cell>
          <cell r="C174" t="str">
            <v>QTD Sales &amp; Delivery Volumes</v>
          </cell>
        </row>
        <row r="175">
          <cell r="A175">
            <v>173</v>
          </cell>
          <cell r="C175" t="str">
            <v>3-9 LE Delivery</v>
          </cell>
          <cell r="E175">
            <v>3168.4965740000002</v>
          </cell>
          <cell r="F175">
            <v>5919.0495030000002</v>
          </cell>
          <cell r="G175">
            <v>8823.1720440000008</v>
          </cell>
          <cell r="H175">
            <v>2531.7024397606033</v>
          </cell>
          <cell r="I175">
            <v>5192.7772235779721</v>
          </cell>
          <cell r="J175">
            <v>8144.5297955579299</v>
          </cell>
          <cell r="K175">
            <v>3456.2833554166968</v>
          </cell>
          <cell r="L175">
            <v>6773.7994575135053</v>
          </cell>
          <cell r="M175">
            <v>9578.0567231514178</v>
          </cell>
          <cell r="N175">
            <v>2650.9873261788498</v>
          </cell>
          <cell r="O175">
            <v>5358.2075408600122</v>
          </cell>
          <cell r="P175">
            <v>8429.565790020577</v>
          </cell>
        </row>
        <row r="176">
          <cell r="A176">
            <v>174</v>
          </cell>
          <cell r="C176" t="str">
            <v>6-6 LE Delivery</v>
          </cell>
          <cell r="E176">
            <v>3168.4965740000002</v>
          </cell>
          <cell r="F176">
            <v>5919.0495030000002</v>
          </cell>
          <cell r="G176">
            <v>8823.1720440000008</v>
          </cell>
          <cell r="H176">
            <v>2595.1740150000001</v>
          </cell>
          <cell r="I176">
            <v>5311.8669829999999</v>
          </cell>
          <cell r="J176">
            <v>8466.572075</v>
          </cell>
          <cell r="K176">
            <v>3498.6188746049561</v>
          </cell>
          <cell r="L176">
            <v>6855.068008633888</v>
          </cell>
          <cell r="M176">
            <v>9690.2269226881235</v>
          </cell>
          <cell r="N176">
            <v>2678.9046261809203</v>
          </cell>
          <cell r="O176">
            <v>5410.8811719332589</v>
          </cell>
          <cell r="P176">
            <v>8504.0200770967695</v>
          </cell>
        </row>
        <row r="177">
          <cell r="A177">
            <v>175</v>
          </cell>
          <cell r="C177" t="str">
            <v>7-5 LE Delivery</v>
          </cell>
          <cell r="E177">
            <v>0</v>
          </cell>
          <cell r="F177">
            <v>0</v>
          </cell>
          <cell r="G177">
            <v>0</v>
          </cell>
          <cell r="H177">
            <v>0</v>
          </cell>
          <cell r="I177">
            <v>0</v>
          </cell>
          <cell r="J177">
            <v>0</v>
          </cell>
          <cell r="K177">
            <v>0</v>
          </cell>
          <cell r="L177">
            <v>0</v>
          </cell>
          <cell r="M177">
            <v>0</v>
          </cell>
          <cell r="N177">
            <v>0</v>
          </cell>
          <cell r="O177">
            <v>0</v>
          </cell>
          <cell r="P177">
            <v>0</v>
          </cell>
        </row>
        <row r="178">
          <cell r="A178">
            <v>176</v>
          </cell>
        </row>
        <row r="179">
          <cell r="A179">
            <v>177</v>
          </cell>
          <cell r="C179" t="str">
            <v>3-9 LE Sales</v>
          </cell>
          <cell r="E179">
            <v>2138.7043069999995</v>
          </cell>
          <cell r="F179">
            <v>4086.5385009999991</v>
          </cell>
          <cell r="G179">
            <v>6209.6767649999992</v>
          </cell>
          <cell r="H179">
            <v>1658.6766632151382</v>
          </cell>
          <cell r="I179">
            <v>3744.6208679446208</v>
          </cell>
          <cell r="J179">
            <v>6458.4547544056522</v>
          </cell>
          <cell r="K179">
            <v>3151.9079564921631</v>
          </cell>
          <cell r="L179">
            <v>6174.6480074687861</v>
          </cell>
          <cell r="M179">
            <v>8743.6282394855152</v>
          </cell>
          <cell r="N179">
            <v>2446.1149987769372</v>
          </cell>
          <cell r="O179">
            <v>4930.3971303355629</v>
          </cell>
          <cell r="P179">
            <v>7736.3024367624957</v>
          </cell>
        </row>
        <row r="180">
          <cell r="A180">
            <v>178</v>
          </cell>
          <cell r="C180" t="str">
            <v>6-6 LE Sales</v>
          </cell>
          <cell r="E180">
            <v>2138.7043069999995</v>
          </cell>
          <cell r="F180">
            <v>4086.5385009999991</v>
          </cell>
          <cell r="G180">
            <v>6209.6767649999992</v>
          </cell>
          <cell r="H180">
            <v>1797.4199109999995</v>
          </cell>
          <cell r="I180">
            <v>3742.0060569999991</v>
          </cell>
          <cell r="J180">
            <v>6360.7653339999997</v>
          </cell>
          <cell r="K180">
            <v>3190.8873329395374</v>
          </cell>
          <cell r="L180">
            <v>6249.2660158391573</v>
          </cell>
          <cell r="M180">
            <v>8846.5060765019753</v>
          </cell>
          <cell r="N180">
            <v>2471.890435044364</v>
          </cell>
          <cell r="O180">
            <v>4979.4798463609377</v>
          </cell>
          <cell r="P180">
            <v>7806.667264314392</v>
          </cell>
        </row>
        <row r="181">
          <cell r="A181">
            <v>179</v>
          </cell>
          <cell r="C181" t="str">
            <v>7-5 LE Sales</v>
          </cell>
          <cell r="E181">
            <v>0</v>
          </cell>
          <cell r="F181">
            <v>0</v>
          </cell>
          <cell r="G181">
            <v>0</v>
          </cell>
          <cell r="H181">
            <v>0</v>
          </cell>
          <cell r="I181">
            <v>0</v>
          </cell>
          <cell r="J181">
            <v>0</v>
          </cell>
          <cell r="K181">
            <v>0</v>
          </cell>
          <cell r="L181">
            <v>0</v>
          </cell>
          <cell r="M181">
            <v>0</v>
          </cell>
          <cell r="N181">
            <v>0</v>
          </cell>
          <cell r="O181">
            <v>0</v>
          </cell>
          <cell r="P181">
            <v>0</v>
          </cell>
        </row>
        <row r="182">
          <cell r="A182">
            <v>180</v>
          </cell>
        </row>
        <row r="183">
          <cell r="A183">
            <v>181</v>
          </cell>
          <cell r="C183" t="str">
            <v>YTD</v>
          </cell>
        </row>
        <row r="184">
          <cell r="A184">
            <v>182</v>
          </cell>
          <cell r="C184" t="str">
            <v>3-9 LE Revenue</v>
          </cell>
          <cell r="E184">
            <v>378.61627700000008</v>
          </cell>
          <cell r="F184">
            <v>690.91516458000001</v>
          </cell>
          <cell r="G184">
            <v>1051.06870959</v>
          </cell>
          <cell r="H184">
            <v>1324.185520652165</v>
          </cell>
          <cell r="I184">
            <v>1601.1542431809669</v>
          </cell>
          <cell r="J184">
            <v>1934.5518206716074</v>
          </cell>
          <cell r="K184">
            <v>2321.8035587300528</v>
          </cell>
          <cell r="L184">
            <v>2693.3067490453991</v>
          </cell>
          <cell r="M184">
            <v>3006.2380831177156</v>
          </cell>
          <cell r="N184">
            <v>3294.9648610546324</v>
          </cell>
          <cell r="O184">
            <v>3613.4325910465377</v>
          </cell>
          <cell r="P184">
            <v>3984.7284227052301</v>
          </cell>
        </row>
        <row r="185">
          <cell r="A185">
            <v>183</v>
          </cell>
          <cell r="C185" t="str">
            <v>6-6 LE Revenue</v>
          </cell>
          <cell r="E185">
            <v>378.61627700000008</v>
          </cell>
          <cell r="F185">
            <v>690.91516458000001</v>
          </cell>
          <cell r="G185">
            <v>1051.06870959</v>
          </cell>
          <cell r="H185">
            <v>1339.1393434399999</v>
          </cell>
          <cell r="I185">
            <v>1611.6835178900001</v>
          </cell>
          <cell r="J185">
            <v>1956.9077347800001</v>
          </cell>
          <cell r="K185">
            <v>2351.3169468345786</v>
          </cell>
          <cell r="L185">
            <v>2730.7971282503454</v>
          </cell>
          <cell r="M185">
            <v>3052.8673178563477</v>
          </cell>
          <cell r="N185">
            <v>3364.3934964340642</v>
          </cell>
          <cell r="O185">
            <v>3715.4344413990643</v>
          </cell>
          <cell r="P185">
            <v>4135.7566459386926</v>
          </cell>
        </row>
        <row r="186">
          <cell r="A186">
            <v>184</v>
          </cell>
          <cell r="C186" t="str">
            <v>7-5 LE Revenue</v>
          </cell>
          <cell r="E186">
            <v>378.61627700000008</v>
          </cell>
          <cell r="F186">
            <v>690.91516458000001</v>
          </cell>
          <cell r="G186">
            <v>1051.06870959</v>
          </cell>
          <cell r="H186">
            <v>1339.1393434399999</v>
          </cell>
          <cell r="I186">
            <v>1611.6835178900001</v>
          </cell>
          <cell r="J186">
            <v>1956.9077347800001</v>
          </cell>
          <cell r="K186">
            <v>2307.4361109000001</v>
          </cell>
          <cell r="L186">
            <v>2695.6852923157667</v>
          </cell>
          <cell r="M186">
            <v>3017.5244819217692</v>
          </cell>
          <cell r="N186">
            <v>3328.8196604994855</v>
          </cell>
          <cell r="O186">
            <v>3679.6296054644854</v>
          </cell>
          <cell r="P186">
            <v>4099.7208100041134</v>
          </cell>
        </row>
        <row r="187">
          <cell r="A187">
            <v>185</v>
          </cell>
        </row>
        <row r="188">
          <cell r="A188">
            <v>186</v>
          </cell>
          <cell r="C188" t="str">
            <v>3-9 LE Fuel &amp; Purchased Power</v>
          </cell>
          <cell r="E188">
            <v>188.86915300000001</v>
          </cell>
          <cell r="F188">
            <v>341.89246961000003</v>
          </cell>
          <cell r="G188">
            <v>518.49841986000001</v>
          </cell>
          <cell r="H188">
            <v>648.22222210382949</v>
          </cell>
          <cell r="I188">
            <v>781.38158606476918</v>
          </cell>
          <cell r="J188">
            <v>945.75908804365554</v>
          </cell>
          <cell r="K188">
            <v>1135.5449905274147</v>
          </cell>
          <cell r="L188">
            <v>1315.7271713273219</v>
          </cell>
          <cell r="M188">
            <v>1466.3278424105865</v>
          </cell>
          <cell r="N188">
            <v>1610.2902348018504</v>
          </cell>
          <cell r="O188">
            <v>1772.0960615213235</v>
          </cell>
          <cell r="P188">
            <v>1962.0567460345496</v>
          </cell>
        </row>
        <row r="189">
          <cell r="A189">
            <v>187</v>
          </cell>
          <cell r="C189" t="str">
            <v>6-6 LE Fuel &amp; Purchased Power</v>
          </cell>
          <cell r="E189">
            <v>188.86915300000001</v>
          </cell>
          <cell r="F189">
            <v>341.89246961000003</v>
          </cell>
          <cell r="G189">
            <v>518.49841986000001</v>
          </cell>
          <cell r="H189">
            <v>651.47763787999997</v>
          </cell>
          <cell r="I189">
            <v>778.7475412</v>
          </cell>
          <cell r="J189">
            <v>936.04255697999997</v>
          </cell>
          <cell r="K189">
            <v>1131.2322412220599</v>
          </cell>
          <cell r="L189">
            <v>1317.4741094566232</v>
          </cell>
          <cell r="M189">
            <v>1474.5712349955675</v>
          </cell>
          <cell r="N189">
            <v>1637.3697862877882</v>
          </cell>
          <cell r="O189">
            <v>1826.5591510584761</v>
          </cell>
          <cell r="P189">
            <v>2061.0686036662346</v>
          </cell>
        </row>
        <row r="190">
          <cell r="A190">
            <v>188</v>
          </cell>
          <cell r="C190" t="str">
            <v>7-5 LE Fuel &amp; Purchased Power</v>
          </cell>
          <cell r="E190">
            <v>188.86915300000001</v>
          </cell>
          <cell r="F190">
            <v>341.89246961000003</v>
          </cell>
          <cell r="G190">
            <v>518.49841986000001</v>
          </cell>
          <cell r="H190">
            <v>651.47763787999997</v>
          </cell>
          <cell r="I190">
            <v>778.7475412</v>
          </cell>
          <cell r="J190">
            <v>936.04255697999997</v>
          </cell>
          <cell r="K190">
            <v>1109.29243612</v>
          </cell>
          <cell r="L190">
            <v>1295.5343043545633</v>
          </cell>
          <cell r="M190">
            <v>1452.6314298935076</v>
          </cell>
          <cell r="N190">
            <v>1615.4299811857284</v>
          </cell>
          <cell r="O190">
            <v>1804.6193459564163</v>
          </cell>
          <cell r="P190">
            <v>2039.128798564175</v>
          </cell>
        </row>
        <row r="191">
          <cell r="A191">
            <v>189</v>
          </cell>
        </row>
        <row r="192">
          <cell r="A192">
            <v>190</v>
          </cell>
          <cell r="C192" t="str">
            <v>3-9 LE Direct</v>
          </cell>
          <cell r="E192">
            <v>8.5245630000000006</v>
          </cell>
          <cell r="F192">
            <v>21.577046639999999</v>
          </cell>
          <cell r="G192">
            <v>36.121106040000001</v>
          </cell>
          <cell r="H192">
            <v>37.464122239999995</v>
          </cell>
          <cell r="I192">
            <v>40.08713843999999</v>
          </cell>
          <cell r="J192">
            <v>44.09015463999998</v>
          </cell>
          <cell r="K192">
            <v>47.513170839999972</v>
          </cell>
          <cell r="L192">
            <v>51.156187039999971</v>
          </cell>
          <cell r="M192">
            <v>55.146187039999973</v>
          </cell>
          <cell r="N192">
            <v>59.036187039999973</v>
          </cell>
          <cell r="O192">
            <v>61.906187039999971</v>
          </cell>
          <cell r="P192">
            <v>65.756187039999972</v>
          </cell>
        </row>
        <row r="193">
          <cell r="A193">
            <v>191</v>
          </cell>
          <cell r="C193" t="str">
            <v>6-6 LE Direct</v>
          </cell>
          <cell r="E193">
            <v>8.5245630000000006</v>
          </cell>
          <cell r="F193">
            <v>21.577046639999999</v>
          </cell>
          <cell r="G193">
            <v>36.121106040000001</v>
          </cell>
          <cell r="H193">
            <v>42.32283958</v>
          </cell>
          <cell r="I193">
            <v>53.45270902</v>
          </cell>
          <cell r="J193">
            <v>66.331591470000006</v>
          </cell>
          <cell r="K193">
            <v>84.471204643703373</v>
          </cell>
          <cell r="L193">
            <v>102.99125051730215</v>
          </cell>
          <cell r="M193">
            <v>122.98715693600377</v>
          </cell>
          <cell r="N193">
            <v>143.08643289798493</v>
          </cell>
          <cell r="O193">
            <v>157.24827518996287</v>
          </cell>
          <cell r="P193">
            <v>177.00153360041378</v>
          </cell>
        </row>
        <row r="194">
          <cell r="A194">
            <v>192</v>
          </cell>
          <cell r="C194" t="str">
            <v>7-5 LE Direct</v>
          </cell>
          <cell r="E194">
            <v>8.5245630000000006</v>
          </cell>
          <cell r="F194">
            <v>21.577046639999999</v>
          </cell>
          <cell r="G194">
            <v>36.121106040000001</v>
          </cell>
          <cell r="H194">
            <v>42.32283958</v>
          </cell>
          <cell r="I194">
            <v>53.45270902</v>
          </cell>
          <cell r="J194">
            <v>66.331591470000006</v>
          </cell>
          <cell r="K194">
            <v>78.909050669999999</v>
          </cell>
          <cell r="L194">
            <v>101.19809654359878</v>
          </cell>
          <cell r="M194">
            <v>120.96300296230042</v>
          </cell>
          <cell r="N194">
            <v>135.83127892428161</v>
          </cell>
          <cell r="O194">
            <v>144.76212121625954</v>
          </cell>
          <cell r="P194">
            <v>161.08437962671044</v>
          </cell>
        </row>
        <row r="195">
          <cell r="A195">
            <v>193</v>
          </cell>
        </row>
        <row r="196">
          <cell r="A196">
            <v>194</v>
          </cell>
          <cell r="C196" t="str">
            <v>3-9 LE Indirect</v>
          </cell>
          <cell r="E196">
            <v>19.243808000000001</v>
          </cell>
          <cell r="F196">
            <v>34.69577554</v>
          </cell>
          <cell r="G196">
            <v>68.508693179999995</v>
          </cell>
          <cell r="H196">
            <v>77.062463429999994</v>
          </cell>
          <cell r="I196">
            <v>87.216233679999988</v>
          </cell>
          <cell r="J196">
            <v>99.09500392999999</v>
          </cell>
          <cell r="K196">
            <v>110.24877417999998</v>
          </cell>
          <cell r="L196">
            <v>121.67754442999998</v>
          </cell>
          <cell r="M196">
            <v>133.54004442999999</v>
          </cell>
          <cell r="N196">
            <v>145.27754443000001</v>
          </cell>
          <cell r="O196">
            <v>155.74004443000001</v>
          </cell>
          <cell r="P196">
            <v>156.17754443000001</v>
          </cell>
        </row>
        <row r="197">
          <cell r="A197">
            <v>195</v>
          </cell>
          <cell r="C197" t="str">
            <v>6-6 LE Indirect</v>
          </cell>
          <cell r="E197">
            <v>20.913808</v>
          </cell>
          <cell r="F197">
            <v>38.035775540000003</v>
          </cell>
          <cell r="G197">
            <v>61.76869318</v>
          </cell>
          <cell r="H197">
            <v>75.879810280000001</v>
          </cell>
          <cell r="I197">
            <v>91.288863399999997</v>
          </cell>
          <cell r="J197">
            <v>117.09635962999999</v>
          </cell>
          <cell r="K197">
            <v>117.09635962999999</v>
          </cell>
          <cell r="L197">
            <v>117.09635962999999</v>
          </cell>
          <cell r="M197">
            <v>117.09635962999999</v>
          </cell>
          <cell r="N197">
            <v>117.09635962999999</v>
          </cell>
          <cell r="O197">
            <v>117.09635962999999</v>
          </cell>
          <cell r="P197">
            <v>117.09635962999999</v>
          </cell>
        </row>
        <row r="198">
          <cell r="A198">
            <v>196</v>
          </cell>
          <cell r="C198" t="str">
            <v>7-5 LE Indirect</v>
          </cell>
          <cell r="E198">
            <v>20.913808</v>
          </cell>
          <cell r="F198">
            <v>38.035775540000003</v>
          </cell>
          <cell r="G198">
            <v>61.76869318</v>
          </cell>
          <cell r="H198">
            <v>75.879810280000001</v>
          </cell>
          <cell r="I198">
            <v>91.288863399999997</v>
          </cell>
          <cell r="J198">
            <v>117.09635962999999</v>
          </cell>
          <cell r="K198">
            <v>138.59179576</v>
          </cell>
          <cell r="L198">
            <v>138.59179576</v>
          </cell>
          <cell r="M198">
            <v>138.59179576</v>
          </cell>
          <cell r="N198">
            <v>138.59179576</v>
          </cell>
          <cell r="O198">
            <v>138.59179576</v>
          </cell>
          <cell r="P198">
            <v>138.59179576</v>
          </cell>
        </row>
        <row r="199">
          <cell r="A199">
            <v>197</v>
          </cell>
        </row>
        <row r="200">
          <cell r="A200">
            <v>198</v>
          </cell>
          <cell r="C200" t="str">
            <v>3-9 LE SG&amp;A</v>
          </cell>
          <cell r="E200">
            <v>5.2018141199999999</v>
          </cell>
          <cell r="F200">
            <v>14.46863506</v>
          </cell>
          <cell r="G200">
            <v>10.01473412</v>
          </cell>
          <cell r="H200">
            <v>28.833028670000001</v>
          </cell>
          <cell r="I200">
            <v>51.171323220000005</v>
          </cell>
          <cell r="J200">
            <v>77.304617770000007</v>
          </cell>
          <cell r="K200">
            <v>101.84291232000001</v>
          </cell>
          <cell r="L200">
            <v>126.98620687000002</v>
          </cell>
          <cell r="M200">
            <v>153.08370687000001</v>
          </cell>
          <cell r="N200">
            <v>178.90620687000001</v>
          </cell>
          <cell r="O200">
            <v>201.92370686999999</v>
          </cell>
          <cell r="P200">
            <v>227.63620687</v>
          </cell>
        </row>
        <row r="201">
          <cell r="A201">
            <v>199</v>
          </cell>
          <cell r="C201" t="str">
            <v>6-6 LE SG&amp;A</v>
          </cell>
          <cell r="E201">
            <v>7.2018141199999999</v>
          </cell>
          <cell r="F201">
            <v>18.46863506</v>
          </cell>
          <cell r="G201">
            <v>16.01473412</v>
          </cell>
          <cell r="H201">
            <v>32.418775660000001</v>
          </cell>
          <cell r="I201">
            <v>31.04423195</v>
          </cell>
          <cell r="J201">
            <v>42.794408650000001</v>
          </cell>
          <cell r="K201">
            <v>66.006212489733528</v>
          </cell>
          <cell r="L201">
            <v>89.718471529900427</v>
          </cell>
          <cell r="M201">
            <v>115.34018214633483</v>
          </cell>
          <cell r="N201">
            <v>141.13319298308616</v>
          </cell>
          <cell r="O201">
            <v>165.69325085639935</v>
          </cell>
          <cell r="P201">
            <v>193.6288517903541</v>
          </cell>
        </row>
        <row r="202">
          <cell r="A202">
            <v>200</v>
          </cell>
          <cell r="C202" t="str">
            <v>7-5 LE SG&amp;A</v>
          </cell>
          <cell r="E202">
            <v>7.2018141199999999</v>
          </cell>
          <cell r="F202">
            <v>18.46863506</v>
          </cell>
          <cell r="G202">
            <v>16.01473412</v>
          </cell>
          <cell r="H202">
            <v>32.418775660000001</v>
          </cell>
          <cell r="I202">
            <v>31.04423195</v>
          </cell>
          <cell r="J202">
            <v>42.794408650000001</v>
          </cell>
          <cell r="K202">
            <v>51.29438098</v>
          </cell>
          <cell r="L202">
            <v>75.006640020166898</v>
          </cell>
          <cell r="M202">
            <v>100.62835063660128</v>
          </cell>
          <cell r="N202">
            <v>126.42136147335262</v>
          </cell>
          <cell r="O202">
            <v>150.9814193466658</v>
          </cell>
          <cell r="P202">
            <v>178.91702028062056</v>
          </cell>
        </row>
        <row r="203">
          <cell r="A203">
            <v>201</v>
          </cell>
        </row>
        <row r="204">
          <cell r="A204">
            <v>202</v>
          </cell>
          <cell r="C204" t="str">
            <v>3-9 LE BSC</v>
          </cell>
          <cell r="E204">
            <v>2.1551342400000002</v>
          </cell>
          <cell r="F204">
            <v>5.0126350500000001</v>
          </cell>
          <cell r="G204">
            <v>7.6628212500000004</v>
          </cell>
          <cell r="H204">
            <v>13.16282125</v>
          </cell>
          <cell r="I204">
            <v>18.66282125</v>
          </cell>
          <cell r="J204">
            <v>24.16282125</v>
          </cell>
          <cell r="K204">
            <v>29.66282125</v>
          </cell>
          <cell r="L204">
            <v>35.16282125</v>
          </cell>
          <cell r="M204">
            <v>40.66282125</v>
          </cell>
          <cell r="N204">
            <v>46.16282125</v>
          </cell>
          <cell r="O204">
            <v>51.66282125</v>
          </cell>
          <cell r="P204">
            <v>57.16282125</v>
          </cell>
        </row>
        <row r="205">
          <cell r="A205">
            <v>203</v>
          </cell>
          <cell r="C205" t="str">
            <v>6-6 LE BSC</v>
          </cell>
          <cell r="E205">
            <v>2.1551342400000002</v>
          </cell>
          <cell r="F205">
            <v>5.0126350500000001</v>
          </cell>
          <cell r="G205">
            <v>7.6628212500000004</v>
          </cell>
          <cell r="H205">
            <v>11.099509860000001</v>
          </cell>
          <cell r="I205">
            <v>14.320791750000001</v>
          </cell>
          <cell r="J205">
            <v>17.521182800000002</v>
          </cell>
          <cell r="K205">
            <v>21.595182800000003</v>
          </cell>
          <cell r="L205">
            <v>25.668182800000004</v>
          </cell>
          <cell r="M205">
            <v>29.940182800000002</v>
          </cell>
          <cell r="N205">
            <v>33.988182800000004</v>
          </cell>
          <cell r="O205">
            <v>38.037182800000004</v>
          </cell>
          <cell r="P205">
            <v>42.291182800000001</v>
          </cell>
        </row>
        <row r="206">
          <cell r="A206">
            <v>204</v>
          </cell>
          <cell r="C206" t="str">
            <v>7-5 LE BSC</v>
          </cell>
          <cell r="E206">
            <v>2.1551342400000002</v>
          </cell>
          <cell r="F206">
            <v>5.0126350500000001</v>
          </cell>
          <cell r="G206">
            <v>7.6628212500000004</v>
          </cell>
          <cell r="H206">
            <v>11.099509860000001</v>
          </cell>
          <cell r="I206">
            <v>14.320791750000001</v>
          </cell>
          <cell r="J206">
            <v>17.521182800000002</v>
          </cell>
          <cell r="K206">
            <v>20.066674690000003</v>
          </cell>
          <cell r="L206">
            <v>24.139674690000003</v>
          </cell>
          <cell r="M206">
            <v>28.411674690000005</v>
          </cell>
          <cell r="N206">
            <v>32.459674690000007</v>
          </cell>
          <cell r="O206">
            <v>36.508674690000007</v>
          </cell>
          <cell r="P206">
            <v>40.762674690000004</v>
          </cell>
        </row>
        <row r="207">
          <cell r="A207">
            <v>205</v>
          </cell>
        </row>
        <row r="208">
          <cell r="A208">
            <v>206</v>
          </cell>
          <cell r="C208" t="str">
            <v>3-9 LE Corp Center Allocation</v>
          </cell>
          <cell r="E208">
            <v>0</v>
          </cell>
          <cell r="F208">
            <v>4.8</v>
          </cell>
          <cell r="G208">
            <v>10.39393638</v>
          </cell>
          <cell r="H208">
            <v>12.76093638</v>
          </cell>
          <cell r="I208">
            <v>15.127936380000001</v>
          </cell>
          <cell r="J208">
            <v>17.494936380000002</v>
          </cell>
          <cell r="K208">
            <v>19.861936380000003</v>
          </cell>
          <cell r="L208">
            <v>22.228936380000004</v>
          </cell>
          <cell r="M208">
            <v>24.595936380000005</v>
          </cell>
          <cell r="N208">
            <v>26.962936380000006</v>
          </cell>
          <cell r="O208">
            <v>29.329936380000007</v>
          </cell>
          <cell r="P208">
            <v>29.896936380000007</v>
          </cell>
        </row>
        <row r="209">
          <cell r="A209">
            <v>207</v>
          </cell>
          <cell r="C209" t="str">
            <v>6-6 LE Corp Center Allocation</v>
          </cell>
          <cell r="E209">
            <v>0</v>
          </cell>
          <cell r="F209">
            <v>4.8</v>
          </cell>
          <cell r="G209">
            <v>10.39393638</v>
          </cell>
          <cell r="H209">
            <v>9.0124077800000002</v>
          </cell>
          <cell r="I209">
            <v>11.55522294</v>
          </cell>
          <cell r="J209">
            <v>14.25965074</v>
          </cell>
          <cell r="K209">
            <v>16.626650739999999</v>
          </cell>
          <cell r="L209">
            <v>18.99365074</v>
          </cell>
          <cell r="M209">
            <v>21.360650740000001</v>
          </cell>
          <cell r="N209">
            <v>23.727650740000001</v>
          </cell>
          <cell r="O209">
            <v>26.094650740000002</v>
          </cell>
          <cell r="P209">
            <v>28.461650740000003</v>
          </cell>
        </row>
        <row r="210">
          <cell r="A210">
            <v>208</v>
          </cell>
          <cell r="C210" t="str">
            <v>7-5 LE Corp Center Allocation</v>
          </cell>
          <cell r="E210">
            <v>0</v>
          </cell>
          <cell r="F210">
            <v>4.8</v>
          </cell>
          <cell r="G210">
            <v>10.39393638</v>
          </cell>
          <cell r="H210">
            <v>9.0124077800000002</v>
          </cell>
          <cell r="I210">
            <v>11.55522294</v>
          </cell>
          <cell r="J210">
            <v>14.25965074</v>
          </cell>
          <cell r="K210">
            <v>16.424103549999998</v>
          </cell>
          <cell r="L210">
            <v>18.791103549999999</v>
          </cell>
          <cell r="M210">
            <v>21.15810355</v>
          </cell>
          <cell r="N210">
            <v>23.525103550000001</v>
          </cell>
          <cell r="O210">
            <v>25.892103550000002</v>
          </cell>
          <cell r="P210">
            <v>28.259103550000003</v>
          </cell>
        </row>
        <row r="211">
          <cell r="A211">
            <v>209</v>
          </cell>
        </row>
        <row r="212">
          <cell r="A212">
            <v>210</v>
          </cell>
          <cell r="C212" t="str">
            <v>3-9 LE Earnings from Invest.Equity(enter income as neg)</v>
          </cell>
          <cell r="E212">
            <v>-0.6</v>
          </cell>
          <cell r="F212">
            <v>-1.03</v>
          </cell>
          <cell r="G212">
            <v>-1.83</v>
          </cell>
          <cell r="H212">
            <v>-1.83</v>
          </cell>
          <cell r="I212">
            <v>-1.83</v>
          </cell>
          <cell r="J212">
            <v>-1.83</v>
          </cell>
          <cell r="K212">
            <v>-1.83</v>
          </cell>
          <cell r="L212">
            <v>-1.83</v>
          </cell>
          <cell r="M212">
            <v>-1.83</v>
          </cell>
          <cell r="N212">
            <v>-1.83</v>
          </cell>
          <cell r="O212">
            <v>-1.83</v>
          </cell>
          <cell r="P212">
            <v>-1.83</v>
          </cell>
        </row>
        <row r="213">
          <cell r="A213">
            <v>211</v>
          </cell>
          <cell r="C213" t="str">
            <v>6-6 LE Earnings from Invest.Equity(enter income as neg)</v>
          </cell>
          <cell r="E213">
            <v>0</v>
          </cell>
          <cell r="F213">
            <v>0</v>
          </cell>
          <cell r="G213">
            <v>0</v>
          </cell>
          <cell r="H213">
            <v>-1.6456999999999999E-2</v>
          </cell>
          <cell r="I213">
            <v>-2.1329999999999995E-3</v>
          </cell>
          <cell r="J213">
            <v>-2.1329999999999995E-3</v>
          </cell>
          <cell r="K213">
            <v>-2.1329999999999995E-3</v>
          </cell>
          <cell r="L213">
            <v>-2.1329999999999995E-3</v>
          </cell>
          <cell r="M213">
            <v>-2.1329999999999995E-3</v>
          </cell>
          <cell r="N213">
            <v>-2.1329999999999995E-3</v>
          </cell>
          <cell r="O213">
            <v>-2.1329999999999995E-3</v>
          </cell>
          <cell r="P213">
            <v>-2.1329999999999995E-3</v>
          </cell>
        </row>
        <row r="214">
          <cell r="A214">
            <v>212</v>
          </cell>
          <cell r="C214" t="str">
            <v>7-5 LE Earnings from Invest.Equity(enter income as neg)</v>
          </cell>
          <cell r="E214">
            <v>0</v>
          </cell>
          <cell r="F214">
            <v>0</v>
          </cell>
          <cell r="G214">
            <v>0</v>
          </cell>
          <cell r="H214">
            <v>-1.6456999999999999E-2</v>
          </cell>
          <cell r="I214">
            <v>-2.1329999999999995E-3</v>
          </cell>
          <cell r="J214">
            <v>-2.1329999999999995E-3</v>
          </cell>
          <cell r="K214">
            <v>-4.5705999999999997E-2</v>
          </cell>
          <cell r="L214">
            <v>-4.5705999999999997E-2</v>
          </cell>
          <cell r="M214">
            <v>-4.5705999999999997E-2</v>
          </cell>
          <cell r="N214">
            <v>-4.5705999999999997E-2</v>
          </cell>
          <cell r="O214">
            <v>-4.5705999999999997E-2</v>
          </cell>
          <cell r="P214">
            <v>-4.5705999999999997E-2</v>
          </cell>
        </row>
        <row r="215">
          <cell r="A215">
            <v>213</v>
          </cell>
        </row>
        <row r="216">
          <cell r="A216">
            <v>214</v>
          </cell>
          <cell r="C216" t="str">
            <v>3-9 LE Loss/(Gain) on Assets Disposal</v>
          </cell>
          <cell r="E216">
            <v>-0.6429954200000001</v>
          </cell>
          <cell r="F216">
            <v>-0.6429954200000001</v>
          </cell>
          <cell r="G216">
            <v>-0.63770248000000007</v>
          </cell>
          <cell r="H216">
            <v>-0.63770248000000007</v>
          </cell>
          <cell r="I216">
            <v>-0.63770248000000007</v>
          </cell>
          <cell r="J216">
            <v>-0.63770248000000007</v>
          </cell>
          <cell r="K216">
            <v>-0.63770248000000007</v>
          </cell>
          <cell r="L216">
            <v>-0.63770248000000007</v>
          </cell>
          <cell r="M216">
            <v>-0.63770248000000007</v>
          </cell>
          <cell r="N216">
            <v>-0.63770248000000007</v>
          </cell>
          <cell r="O216">
            <v>-0.63770248000000007</v>
          </cell>
          <cell r="P216">
            <v>-0.63770248000000007</v>
          </cell>
        </row>
        <row r="217">
          <cell r="A217">
            <v>215</v>
          </cell>
          <cell r="C217" t="str">
            <v>6-6 LE Loss/(Gain) on Assets Disposal</v>
          </cell>
          <cell r="E217">
            <v>-0.6429954200000001</v>
          </cell>
          <cell r="F217">
            <v>-0.6429954200000001</v>
          </cell>
          <cell r="G217">
            <v>-0.63770248000000007</v>
          </cell>
          <cell r="H217">
            <v>-0.63770548000000005</v>
          </cell>
          <cell r="I217">
            <v>0.15225933000000003</v>
          </cell>
          <cell r="J217">
            <v>0.15225933000000003</v>
          </cell>
          <cell r="K217">
            <v>0.15225933000000003</v>
          </cell>
          <cell r="L217">
            <v>0.15225933000000003</v>
          </cell>
          <cell r="M217">
            <v>0.15225933000000003</v>
          </cell>
          <cell r="N217">
            <v>0.15225933000000003</v>
          </cell>
          <cell r="O217">
            <v>0.15225933000000003</v>
          </cell>
          <cell r="P217">
            <v>0.15225933000000003</v>
          </cell>
        </row>
        <row r="218">
          <cell r="A218">
            <v>216</v>
          </cell>
          <cell r="C218" t="str">
            <v>7-5 LE Loss/(Gain) on Assets Disposal</v>
          </cell>
          <cell r="E218">
            <v>-0.6429954200000001</v>
          </cell>
          <cell r="F218">
            <v>-0.6429954200000001</v>
          </cell>
          <cell r="G218">
            <v>-0.63770248000000007</v>
          </cell>
          <cell r="H218">
            <v>-0.63770548000000005</v>
          </cell>
          <cell r="I218">
            <v>0.15225933000000003</v>
          </cell>
          <cell r="J218">
            <v>0.15225933000000003</v>
          </cell>
          <cell r="K218">
            <v>0.15110043000000004</v>
          </cell>
          <cell r="L218">
            <v>0.15110043000000004</v>
          </cell>
          <cell r="M218">
            <v>0.15110043000000004</v>
          </cell>
          <cell r="N218">
            <v>0.15110043000000004</v>
          </cell>
          <cell r="O218">
            <v>0.15110043000000004</v>
          </cell>
          <cell r="P218">
            <v>0.15110043000000004</v>
          </cell>
        </row>
        <row r="219">
          <cell r="A219">
            <v>217</v>
          </cell>
        </row>
        <row r="220">
          <cell r="A220">
            <v>218</v>
          </cell>
          <cell r="C220" t="str">
            <v>3-9 LE Other Operating Expenses</v>
          </cell>
          <cell r="E220">
            <v>-9.1986281500000011</v>
          </cell>
          <cell r="F220">
            <v>-9.1941070000000007</v>
          </cell>
          <cell r="G220">
            <v>-9.1857055800000005</v>
          </cell>
          <cell r="H220">
            <v>-9.1857055800000005</v>
          </cell>
          <cell r="I220">
            <v>-9.1857055800000005</v>
          </cell>
          <cell r="J220">
            <v>-9.1857055800000005</v>
          </cell>
          <cell r="K220">
            <v>-9.1857055800000005</v>
          </cell>
          <cell r="L220">
            <v>-9.1857055800000005</v>
          </cell>
          <cell r="M220">
            <v>-9.1857055800000005</v>
          </cell>
          <cell r="N220">
            <v>-9.1857055800000005</v>
          </cell>
          <cell r="O220">
            <v>-9.1857055800000005</v>
          </cell>
          <cell r="P220">
            <v>-9.1857055800000005</v>
          </cell>
        </row>
        <row r="221">
          <cell r="A221">
            <v>219</v>
          </cell>
          <cell r="C221" t="str">
            <v>6-6 LE Other Operating Expenses</v>
          </cell>
          <cell r="E221">
            <v>-9.1986281500000011</v>
          </cell>
          <cell r="F221">
            <v>-9.1941070000000007</v>
          </cell>
          <cell r="G221">
            <v>-9.1857055800000005</v>
          </cell>
          <cell r="H221">
            <v>-9.20745814</v>
          </cell>
          <cell r="I221">
            <v>-9.2192096800000005</v>
          </cell>
          <cell r="J221">
            <v>-9.1875068300000002</v>
          </cell>
          <cell r="K221">
            <v>-9.1875068300000002</v>
          </cell>
          <cell r="L221">
            <v>-9.1875068300000002</v>
          </cell>
          <cell r="M221">
            <v>-9.1875068300000002</v>
          </cell>
          <cell r="N221">
            <v>-9.1875068300000002</v>
          </cell>
          <cell r="O221">
            <v>-9.1875068300000002</v>
          </cell>
          <cell r="P221">
            <v>-9.1875068300000002</v>
          </cell>
        </row>
        <row r="222">
          <cell r="A222">
            <v>220</v>
          </cell>
          <cell r="C222" t="str">
            <v>7-5 LE Other Operating Expenses</v>
          </cell>
          <cell r="E222">
            <v>-9.1986281500000011</v>
          </cell>
          <cell r="F222">
            <v>-9.1941070000000007</v>
          </cell>
          <cell r="G222">
            <v>-9.1857055800000005</v>
          </cell>
          <cell r="H222">
            <v>-9.20745814</v>
          </cell>
          <cell r="I222">
            <v>-9.2192096800000005</v>
          </cell>
          <cell r="J222">
            <v>-9.1875068300000002</v>
          </cell>
          <cell r="K222">
            <v>-9.2374232200000002</v>
          </cell>
          <cell r="L222">
            <v>-9.2374232200000002</v>
          </cell>
          <cell r="M222">
            <v>-9.2374232200000002</v>
          </cell>
          <cell r="N222">
            <v>-9.2374232200000002</v>
          </cell>
          <cell r="O222">
            <v>-9.2374232200000002</v>
          </cell>
          <cell r="P222">
            <v>-9.2374232200000002</v>
          </cell>
        </row>
        <row r="223">
          <cell r="A223">
            <v>221</v>
          </cell>
        </row>
        <row r="224">
          <cell r="A224">
            <v>222</v>
          </cell>
          <cell r="C224" t="str">
            <v>3-9 LE TOTI</v>
          </cell>
          <cell r="E224">
            <v>4.0493737999999997</v>
          </cell>
          <cell r="F224">
            <v>9.1453179700000007</v>
          </cell>
          <cell r="G224">
            <v>13.04726372</v>
          </cell>
          <cell r="H224">
            <v>16.59926372</v>
          </cell>
          <cell r="I224">
            <v>20.19226372</v>
          </cell>
          <cell r="J224">
            <v>23.79726372</v>
          </cell>
          <cell r="K224">
            <v>27.380263720000002</v>
          </cell>
          <cell r="L224">
            <v>30.987263720000001</v>
          </cell>
          <cell r="M224">
            <v>34.56726372</v>
          </cell>
          <cell r="N224">
            <v>38.158263720000001</v>
          </cell>
          <cell r="O224">
            <v>41.732263719999999</v>
          </cell>
          <cell r="P224">
            <v>45.308263719999999</v>
          </cell>
        </row>
        <row r="225">
          <cell r="A225">
            <v>223</v>
          </cell>
          <cell r="C225" t="str">
            <v>6-6 LE TOTI</v>
          </cell>
          <cell r="E225">
            <v>4.0493737999999997</v>
          </cell>
          <cell r="F225">
            <v>9.1453179700000007</v>
          </cell>
          <cell r="G225">
            <v>13.04726372</v>
          </cell>
          <cell r="H225">
            <v>22.318302490000001</v>
          </cell>
          <cell r="I225">
            <v>25.78472257</v>
          </cell>
          <cell r="J225">
            <v>29.835244159999998</v>
          </cell>
          <cell r="K225">
            <v>33.302617656563115</v>
          </cell>
          <cell r="L225">
            <v>36.786288512797455</v>
          </cell>
          <cell r="M225">
            <v>40.336348307661432</v>
          </cell>
          <cell r="N225">
            <v>43.887346612262249</v>
          </cell>
          <cell r="O225">
            <v>47.398163350304507</v>
          </cell>
          <cell r="P225">
            <v>51.023297649232127</v>
          </cell>
        </row>
        <row r="226">
          <cell r="A226">
            <v>224</v>
          </cell>
          <cell r="C226" t="str">
            <v>7-5 LE TOTI</v>
          </cell>
          <cell r="E226">
            <v>4.0493737999999997</v>
          </cell>
          <cell r="F226">
            <v>9.1453179700000007</v>
          </cell>
          <cell r="G226">
            <v>13.04726372</v>
          </cell>
          <cell r="H226">
            <v>22.318302490000001</v>
          </cell>
          <cell r="I226">
            <v>25.78472257</v>
          </cell>
          <cell r="J226">
            <v>29.835244159999998</v>
          </cell>
          <cell r="K226">
            <v>23.832628870000001</v>
          </cell>
          <cell r="L226">
            <v>27.316299726234337</v>
          </cell>
          <cell r="M226">
            <v>30.866359521098317</v>
          </cell>
          <cell r="N226">
            <v>34.417357825699135</v>
          </cell>
          <cell r="O226">
            <v>37.928174563741393</v>
          </cell>
          <cell r="P226">
            <v>41.553308862669013</v>
          </cell>
        </row>
        <row r="227">
          <cell r="A227">
            <v>225</v>
          </cell>
        </row>
        <row r="228">
          <cell r="A228">
            <v>226</v>
          </cell>
          <cell r="C228" t="str">
            <v>3-9 LE Total O&amp;M</v>
          </cell>
          <cell r="E228">
            <v>28.733069590000007</v>
          </cell>
          <cell r="F228">
            <v>78.832307839999999</v>
          </cell>
          <cell r="G228">
            <v>134.09514662999999</v>
          </cell>
          <cell r="H228">
            <v>174.22922763</v>
          </cell>
          <cell r="I228">
            <v>220.80430862999998</v>
          </cell>
          <cell r="J228">
            <v>274.29138963000003</v>
          </cell>
          <cell r="K228">
            <v>324.85647062999999</v>
          </cell>
          <cell r="L228">
            <v>376.54555162999998</v>
          </cell>
          <cell r="M228">
            <v>429.94255163000003</v>
          </cell>
          <cell r="N228">
            <v>482.85055163000004</v>
          </cell>
          <cell r="O228">
            <v>530.64155162999998</v>
          </cell>
          <cell r="P228">
            <v>570.28455163000001</v>
          </cell>
        </row>
        <row r="229">
          <cell r="A229">
            <v>227</v>
          </cell>
          <cell r="C229" t="str">
            <v>6-6 LE Total O&amp;M</v>
          </cell>
          <cell r="E229">
            <v>33.003069590000003</v>
          </cell>
          <cell r="F229">
            <v>87.202307840000003</v>
          </cell>
          <cell r="G229">
            <v>135.18514662999999</v>
          </cell>
          <cell r="H229">
            <v>183.19002503000002</v>
          </cell>
          <cell r="I229">
            <v>218.37745828000004</v>
          </cell>
          <cell r="J229">
            <v>278.80105694999997</v>
          </cell>
          <cell r="K229">
            <v>330.06084745999999</v>
          </cell>
          <cell r="L229">
            <v>382.21682322999999</v>
          </cell>
          <cell r="M229">
            <v>438.02350005999995</v>
          </cell>
          <cell r="N229">
            <v>493.88178516333329</v>
          </cell>
          <cell r="O229">
            <v>542.5305020666666</v>
          </cell>
          <cell r="P229">
            <v>600.46549571000014</v>
          </cell>
        </row>
        <row r="230">
          <cell r="A230">
            <v>228</v>
          </cell>
          <cell r="C230" t="str">
            <v>7-5 LE Total O&amp;M</v>
          </cell>
          <cell r="E230">
            <v>33.003069590000003</v>
          </cell>
          <cell r="F230">
            <v>87.202307840000003</v>
          </cell>
          <cell r="G230">
            <v>135.18514662999999</v>
          </cell>
          <cell r="H230">
            <v>183.19002503000002</v>
          </cell>
          <cell r="I230">
            <v>218.37745828000004</v>
          </cell>
          <cell r="J230">
            <v>278.80105694999997</v>
          </cell>
          <cell r="K230">
            <v>319.98660573000001</v>
          </cell>
          <cell r="L230">
            <v>375.91158150000001</v>
          </cell>
          <cell r="M230">
            <v>431.48725833000003</v>
          </cell>
          <cell r="N230">
            <v>482.11454343333327</v>
          </cell>
          <cell r="O230">
            <v>525.53226033666681</v>
          </cell>
          <cell r="P230">
            <v>580.03625398000008</v>
          </cell>
        </row>
        <row r="231">
          <cell r="A231">
            <v>229</v>
          </cell>
        </row>
        <row r="232">
          <cell r="A232">
            <v>230</v>
          </cell>
          <cell r="C232" t="str">
            <v>3-9 LE D&amp;A</v>
          </cell>
          <cell r="E232">
            <v>35.461494000000002</v>
          </cell>
          <cell r="F232">
            <v>68.480412099999995</v>
          </cell>
          <cell r="G232">
            <v>102.15005857999999</v>
          </cell>
          <cell r="H232">
            <v>132.10205858</v>
          </cell>
          <cell r="I232">
            <v>163.17005857999999</v>
          </cell>
          <cell r="J232">
            <v>198.30505857999998</v>
          </cell>
          <cell r="K232">
            <v>237.74005857999998</v>
          </cell>
          <cell r="L232">
            <v>275.69305857999996</v>
          </cell>
          <cell r="M232">
            <v>309.46405857999997</v>
          </cell>
          <cell r="N232">
            <v>339.61805857999997</v>
          </cell>
          <cell r="O232">
            <v>370.21105857999999</v>
          </cell>
          <cell r="P232">
            <v>402.31305857999996</v>
          </cell>
        </row>
        <row r="233">
          <cell r="A233">
            <v>231</v>
          </cell>
          <cell r="C233" t="str">
            <v>6-6 LE D&amp;A</v>
          </cell>
          <cell r="E233">
            <v>34.461494000000002</v>
          </cell>
          <cell r="F233">
            <v>67.480412099999995</v>
          </cell>
          <cell r="G233">
            <v>101.15005857999999</v>
          </cell>
          <cell r="H233">
            <v>131.76856801</v>
          </cell>
          <cell r="I233">
            <v>163.42766703000001</v>
          </cell>
          <cell r="J233">
            <v>199.66822053000001</v>
          </cell>
          <cell r="K233">
            <v>239.60322053000002</v>
          </cell>
          <cell r="L233">
            <v>278.05622053000002</v>
          </cell>
          <cell r="M233">
            <v>312.32722053000003</v>
          </cell>
          <cell r="N233">
            <v>343.48122053000003</v>
          </cell>
          <cell r="O233">
            <v>375.57422053000005</v>
          </cell>
          <cell r="P233">
            <v>408.17622053000002</v>
          </cell>
        </row>
        <row r="234">
          <cell r="A234">
            <v>232</v>
          </cell>
          <cell r="C234" t="str">
            <v>7-5 LE D&amp;A</v>
          </cell>
          <cell r="E234">
            <v>34.461494000000002</v>
          </cell>
          <cell r="F234">
            <v>67.480412099999995</v>
          </cell>
          <cell r="G234">
            <v>101.15005857999999</v>
          </cell>
          <cell r="H234">
            <v>131.76856801</v>
          </cell>
          <cell r="I234">
            <v>163.42766703000001</v>
          </cell>
          <cell r="J234">
            <v>199.66822053000001</v>
          </cell>
          <cell r="K234">
            <v>239.89182139000002</v>
          </cell>
          <cell r="L234">
            <v>278.34482138999999</v>
          </cell>
          <cell r="M234">
            <v>312.61582139000001</v>
          </cell>
          <cell r="N234">
            <v>343.76982139</v>
          </cell>
          <cell r="O234">
            <v>375.86282139000002</v>
          </cell>
          <cell r="P234">
            <v>408.46482139</v>
          </cell>
        </row>
        <row r="235">
          <cell r="A235">
            <v>233</v>
          </cell>
        </row>
        <row r="236">
          <cell r="A236">
            <v>234</v>
          </cell>
          <cell r="C236" t="str">
            <v>3-9 LE Interest Expense</v>
          </cell>
          <cell r="E236">
            <v>38.098998999999999</v>
          </cell>
          <cell r="F236">
            <v>76.267734410000003</v>
          </cell>
          <cell r="G236">
            <v>107.16893051</v>
          </cell>
          <cell r="H236">
            <v>143.25293051</v>
          </cell>
          <cell r="I236">
            <v>179.33693051</v>
          </cell>
          <cell r="J236">
            <v>215.42093051000001</v>
          </cell>
          <cell r="K236">
            <v>251.50493051000001</v>
          </cell>
          <cell r="L236">
            <v>287.58893051000001</v>
          </cell>
          <cell r="M236">
            <v>323.67293051000001</v>
          </cell>
          <cell r="N236">
            <v>359.75693051000002</v>
          </cell>
          <cell r="O236">
            <v>395.84093051000002</v>
          </cell>
          <cell r="P236">
            <v>431.92493051000002</v>
          </cell>
        </row>
        <row r="237">
          <cell r="A237">
            <v>235</v>
          </cell>
          <cell r="C237" t="str">
            <v>6-6 LE Interest Expense</v>
          </cell>
          <cell r="E237">
            <v>38.098998999999999</v>
          </cell>
          <cell r="F237">
            <v>76.267734410000003</v>
          </cell>
          <cell r="G237">
            <v>107.16893051</v>
          </cell>
          <cell r="H237">
            <v>148.43848364000002</v>
          </cell>
          <cell r="I237">
            <v>185.41872666</v>
          </cell>
          <cell r="J237">
            <v>223.44765501000001</v>
          </cell>
          <cell r="K237">
            <v>259.53165501000001</v>
          </cell>
          <cell r="L237">
            <v>295.61565501000001</v>
          </cell>
          <cell r="M237">
            <v>331.69965501000001</v>
          </cell>
          <cell r="N237">
            <v>367.78365501000002</v>
          </cell>
          <cell r="O237">
            <v>403.86765501000002</v>
          </cell>
          <cell r="P237">
            <v>439.95165501000002</v>
          </cell>
        </row>
        <row r="238">
          <cell r="A238">
            <v>236</v>
          </cell>
          <cell r="C238" t="str">
            <v>7-5 LE Interest Expense</v>
          </cell>
          <cell r="E238">
            <v>38.098998999999999</v>
          </cell>
          <cell r="F238">
            <v>76.267734410000003</v>
          </cell>
          <cell r="G238">
            <v>107.16893051</v>
          </cell>
          <cell r="H238">
            <v>148.43848364000002</v>
          </cell>
          <cell r="I238">
            <v>185.41872666</v>
          </cell>
          <cell r="J238">
            <v>223.44765501000001</v>
          </cell>
          <cell r="K238">
            <v>249.94549419000001</v>
          </cell>
          <cell r="L238">
            <v>286.02949419000004</v>
          </cell>
          <cell r="M238">
            <v>322.11349419000004</v>
          </cell>
          <cell r="N238">
            <v>358.19749419000004</v>
          </cell>
          <cell r="O238">
            <v>394.28149419000005</v>
          </cell>
          <cell r="P238">
            <v>430.36549419000005</v>
          </cell>
        </row>
        <row r="239">
          <cell r="A239">
            <v>237</v>
          </cell>
        </row>
        <row r="240">
          <cell r="A240">
            <v>238</v>
          </cell>
          <cell r="C240" t="str">
            <v>3-9 LE Taxes</v>
          </cell>
          <cell r="E240">
            <v>-0.37688899999999997</v>
          </cell>
          <cell r="F240">
            <v>47.376342490000006</v>
          </cell>
          <cell r="G240">
            <v>67.202520050000004</v>
          </cell>
          <cell r="H240">
            <v>81.347232620967517</v>
          </cell>
          <cell r="I240">
            <v>92.778498096755129</v>
          </cell>
          <cell r="J240">
            <v>109.61781601122169</v>
          </cell>
          <cell r="K240">
            <v>136.74288274960253</v>
          </cell>
          <cell r="L240">
            <v>161.66895558546946</v>
          </cell>
          <cell r="M240">
            <v>176.5188475213092</v>
          </cell>
          <cell r="N240">
            <v>186.25383402865731</v>
          </cell>
          <cell r="O240">
            <v>202.28751727218167</v>
          </cell>
          <cell r="P240">
            <v>240.01985318745875</v>
          </cell>
        </row>
        <row r="241">
          <cell r="A241">
            <v>239</v>
          </cell>
          <cell r="C241" t="str">
            <v>6-6 LE Taxes</v>
          </cell>
          <cell r="E241">
            <v>-0.37688899999999997</v>
          </cell>
          <cell r="F241">
            <v>47.376342490000006</v>
          </cell>
          <cell r="G241">
            <v>67.202520050000004</v>
          </cell>
          <cell r="H241">
            <v>77.675134049999997</v>
          </cell>
          <cell r="I241">
            <v>93.582766050000004</v>
          </cell>
          <cell r="J241">
            <v>112.32984605</v>
          </cell>
          <cell r="K241">
            <v>138.22851147890671</v>
          </cell>
          <cell r="L241">
            <v>162.18483294693985</v>
          </cell>
          <cell r="M241">
            <v>176.15693235228076</v>
          </cell>
          <cell r="N241">
            <v>185.38421553785921</v>
          </cell>
          <cell r="O241">
            <v>201.59352632261152</v>
          </cell>
          <cell r="P241">
            <v>222.90255930648462</v>
          </cell>
        </row>
        <row r="242">
          <cell r="A242">
            <v>240</v>
          </cell>
          <cell r="C242" t="str">
            <v>7-5 LE Taxes</v>
          </cell>
          <cell r="E242">
            <v>-0.37688899999999997</v>
          </cell>
          <cell r="F242">
            <v>47.376342490000006</v>
          </cell>
          <cell r="G242">
            <v>67.202520050000004</v>
          </cell>
          <cell r="H242">
            <v>77.675134049999997</v>
          </cell>
          <cell r="I242">
            <v>93.582766050000004</v>
          </cell>
          <cell r="J242">
            <v>112.32984605</v>
          </cell>
          <cell r="K242">
            <v>139.76148104999999</v>
          </cell>
          <cell r="L242">
            <v>165.51780251803314</v>
          </cell>
          <cell r="M242">
            <v>179.48990192337405</v>
          </cell>
          <cell r="N242">
            <v>190.51718510895248</v>
          </cell>
          <cell r="O242">
            <v>208.5264958937048</v>
          </cell>
          <cell r="P242">
            <v>230.98752887757792</v>
          </cell>
        </row>
        <row r="243">
          <cell r="A243">
            <v>241</v>
          </cell>
        </row>
        <row r="244">
          <cell r="A244">
            <v>242</v>
          </cell>
          <cell r="C244" t="str">
            <v>3-9 LE Preferred Dividends</v>
          </cell>
          <cell r="E244">
            <v>0.80875600000000003</v>
          </cell>
          <cell r="F244">
            <v>1.6175120000000001</v>
          </cell>
          <cell r="G244">
            <v>2.4175120000000003</v>
          </cell>
          <cell r="H244">
            <v>3.1865120000000005</v>
          </cell>
          <cell r="I244">
            <v>3.9555120000000006</v>
          </cell>
          <cell r="J244">
            <v>4.7245120000000007</v>
          </cell>
          <cell r="K244">
            <v>5.4935120000000008</v>
          </cell>
          <cell r="L244">
            <v>6.262512000000001</v>
          </cell>
          <cell r="M244">
            <v>7.0315120000000011</v>
          </cell>
          <cell r="N244">
            <v>7.8005120000000012</v>
          </cell>
          <cell r="O244">
            <v>8.5695120000000014</v>
          </cell>
          <cell r="P244">
            <v>9.3385120000000015</v>
          </cell>
        </row>
        <row r="245">
          <cell r="A245">
            <v>243</v>
          </cell>
          <cell r="C245" t="str">
            <v>6-6 LE Preferred Dividends</v>
          </cell>
          <cell r="E245">
            <v>0.80875600000000003</v>
          </cell>
          <cell r="F245">
            <v>1.6175120000000001</v>
          </cell>
          <cell r="G245">
            <v>2.4175120000000003</v>
          </cell>
          <cell r="H245">
            <v>3.2262673300000002</v>
          </cell>
          <cell r="I245">
            <v>4.0350233300000005</v>
          </cell>
          <cell r="J245">
            <v>4.8437793300000003</v>
          </cell>
          <cell r="K245">
            <v>5.6527793300000004</v>
          </cell>
          <cell r="L245">
            <v>6.4617793300000006</v>
          </cell>
          <cell r="M245">
            <v>7.2707793300000008</v>
          </cell>
          <cell r="N245">
            <v>8.0797793300000009</v>
          </cell>
          <cell r="O245">
            <v>8.8887793300000002</v>
          </cell>
          <cell r="P245">
            <v>9.6977793299999995</v>
          </cell>
        </row>
        <row r="246">
          <cell r="A246">
            <v>244</v>
          </cell>
          <cell r="C246" t="str">
            <v>7-5 LE Preferred Dividends</v>
          </cell>
          <cell r="E246">
            <v>0.80875600000000003</v>
          </cell>
          <cell r="F246">
            <v>1.6175120000000001</v>
          </cell>
          <cell r="G246">
            <v>2.4175120000000003</v>
          </cell>
          <cell r="H246">
            <v>3.2262673300000002</v>
          </cell>
          <cell r="I246">
            <v>4.0350233300000005</v>
          </cell>
          <cell r="J246">
            <v>4.8437793300000003</v>
          </cell>
          <cell r="K246">
            <v>5.6550699900000012</v>
          </cell>
          <cell r="L246">
            <v>6.4640699900000014</v>
          </cell>
          <cell r="M246">
            <v>7.2730699900000015</v>
          </cell>
          <cell r="N246">
            <v>8.0820699900000008</v>
          </cell>
          <cell r="O246">
            <v>8.8910699900000001</v>
          </cell>
          <cell r="P246">
            <v>9.7000699899999994</v>
          </cell>
        </row>
        <row r="247">
          <cell r="A247">
            <v>245</v>
          </cell>
        </row>
        <row r="248">
          <cell r="A248">
            <v>246</v>
          </cell>
          <cell r="C248" t="str">
            <v>3-9 LE Net Income</v>
          </cell>
          <cell r="E248">
            <v>87.02169441000008</v>
          </cell>
          <cell r="F248">
            <v>76.448386130000031</v>
          </cell>
          <cell r="G248">
            <v>119.53612196000009</v>
          </cell>
          <cell r="H248">
            <v>141.84533720736815</v>
          </cell>
          <cell r="I248">
            <v>159.72734929944266</v>
          </cell>
          <cell r="J248">
            <v>186.43302589673021</v>
          </cell>
          <cell r="K248">
            <v>229.9207137330358</v>
          </cell>
          <cell r="L248">
            <v>269.82056941260817</v>
          </cell>
          <cell r="M248">
            <v>293.28034046582036</v>
          </cell>
          <cell r="N248">
            <v>308.3947395041252</v>
          </cell>
          <cell r="O248">
            <v>333.78595953303335</v>
          </cell>
          <cell r="P248">
            <v>368.79077076322227</v>
          </cell>
        </row>
        <row r="249">
          <cell r="A249">
            <v>247</v>
          </cell>
          <cell r="C249" t="str">
            <v>6-6 LE Net Income</v>
          </cell>
          <cell r="E249">
            <v>83.751694410000098</v>
          </cell>
          <cell r="F249">
            <v>69.078386130000055</v>
          </cell>
          <cell r="G249">
            <v>119.44612196000011</v>
          </cell>
          <cell r="H249">
            <v>143.36322750000005</v>
          </cell>
          <cell r="I249">
            <v>168.09433534000007</v>
          </cell>
          <cell r="J249">
            <v>201.77461993000011</v>
          </cell>
          <cell r="K249">
            <v>247.00769180361203</v>
          </cell>
          <cell r="L249">
            <v>288.78770774678208</v>
          </cell>
          <cell r="M249">
            <v>312.81799557849922</v>
          </cell>
          <cell r="N249">
            <v>328.41305457508309</v>
          </cell>
          <cell r="O249">
            <v>356.42060708130947</v>
          </cell>
          <cell r="P249">
            <v>393.49433238597277</v>
          </cell>
        </row>
        <row r="250">
          <cell r="A250">
            <v>248</v>
          </cell>
          <cell r="C250" t="str">
            <v>7-5 LE Net Income</v>
          </cell>
          <cell r="E250">
            <v>83.751694410000098</v>
          </cell>
          <cell r="F250">
            <v>69.078386130000055</v>
          </cell>
          <cell r="G250">
            <v>119.44612196000011</v>
          </cell>
          <cell r="H250">
            <v>143.36322750000005</v>
          </cell>
          <cell r="I250">
            <v>168.09433534000007</v>
          </cell>
          <cell r="J250">
            <v>201.77461993000011</v>
          </cell>
          <cell r="K250">
            <v>242.90320243000011</v>
          </cell>
          <cell r="L250">
            <v>287.88321837317017</v>
          </cell>
          <cell r="M250">
            <v>311.91350620488731</v>
          </cell>
          <cell r="N250">
            <v>330.70856520147117</v>
          </cell>
          <cell r="O250">
            <v>361.91611770769754</v>
          </cell>
          <cell r="P250">
            <v>401.03784301236084</v>
          </cell>
        </row>
        <row r="251">
          <cell r="A251">
            <v>249</v>
          </cell>
        </row>
        <row r="252">
          <cell r="A252">
            <v>250</v>
          </cell>
          <cell r="C252" t="str">
            <v>3-9 LE EPS</v>
          </cell>
          <cell r="E252">
            <v>0.27365312707547196</v>
          </cell>
          <cell r="F252">
            <v>0.24040372996855355</v>
          </cell>
          <cell r="G252">
            <v>0.37589975459119523</v>
          </cell>
          <cell r="H252">
            <v>0.44605451952002562</v>
          </cell>
          <cell r="I252">
            <v>0.50228726194793294</v>
          </cell>
          <cell r="J252">
            <v>0.58626737703374288</v>
          </cell>
          <cell r="K252">
            <v>0.72302111236803723</v>
          </cell>
          <cell r="L252">
            <v>0.84849235664342193</v>
          </cell>
          <cell r="M252">
            <v>0.92226522159063007</v>
          </cell>
          <cell r="N252">
            <v>0.96979477831485905</v>
          </cell>
          <cell r="O252">
            <v>1.0496413821793502</v>
          </cell>
          <cell r="P252">
            <v>1.1597194049157933</v>
          </cell>
        </row>
        <row r="253">
          <cell r="A253">
            <v>251</v>
          </cell>
          <cell r="C253" t="str">
            <v>6-6 LE EPS</v>
          </cell>
          <cell r="E253">
            <v>0.26337010820754747</v>
          </cell>
          <cell r="F253">
            <v>0.21722762933962281</v>
          </cell>
          <cell r="G253">
            <v>0.37561673572327081</v>
          </cell>
          <cell r="H253">
            <v>0.45082775943396247</v>
          </cell>
          <cell r="I253">
            <v>0.52859853880503171</v>
          </cell>
          <cell r="J253">
            <v>0.63451138342767333</v>
          </cell>
          <cell r="K253">
            <v>0.77675374781010076</v>
          </cell>
          <cell r="L253">
            <v>0.90813744574459776</v>
          </cell>
          <cell r="M253">
            <v>0.9837043886116329</v>
          </cell>
          <cell r="N253">
            <v>1.0327454546386263</v>
          </cell>
          <cell r="O253">
            <v>1.1208195191236148</v>
          </cell>
          <cell r="P253">
            <v>1.2374035609621785</v>
          </cell>
        </row>
        <row r="254">
          <cell r="A254">
            <v>252</v>
          </cell>
          <cell r="C254" t="str">
            <v>7-5 LE EPS</v>
          </cell>
          <cell r="E254">
            <v>0.2589724626159558</v>
          </cell>
          <cell r="F254">
            <v>0.21360045185528775</v>
          </cell>
          <cell r="G254">
            <v>0.36934484217687114</v>
          </cell>
          <cell r="H254">
            <v>0.44330002319109485</v>
          </cell>
          <cell r="I254">
            <v>0.51977221811997554</v>
          </cell>
          <cell r="J254">
            <v>0.62391657368583842</v>
          </cell>
          <cell r="K254">
            <v>0.7510921534632039</v>
          </cell>
          <cell r="L254">
            <v>0.89017692756082312</v>
          </cell>
          <cell r="M254">
            <v>0.96448208473991148</v>
          </cell>
          <cell r="N254">
            <v>1.0225991502828424</v>
          </cell>
          <cell r="O254">
            <v>1.1190974573521881</v>
          </cell>
          <cell r="P254">
            <v>1.2400675417821923</v>
          </cell>
        </row>
        <row r="255">
          <cell r="A255">
            <v>253</v>
          </cell>
        </row>
        <row r="256">
          <cell r="A256">
            <v>254</v>
          </cell>
          <cell r="C256" t="str">
            <v>QTD</v>
          </cell>
        </row>
        <row r="257">
          <cell r="A257">
            <v>255</v>
          </cell>
          <cell r="C257" t="str">
            <v>3-9 LE Revenue</v>
          </cell>
          <cell r="E257">
            <v>378.61627700000008</v>
          </cell>
          <cell r="F257">
            <v>690.91516458000001</v>
          </cell>
          <cell r="G257">
            <v>1051.06870959</v>
          </cell>
          <cell r="H257">
            <v>273.11681106216503</v>
          </cell>
          <cell r="I257">
            <v>550.08553359096686</v>
          </cell>
          <cell r="J257">
            <v>883.48311108160738</v>
          </cell>
          <cell r="K257">
            <v>387.2517380584456</v>
          </cell>
          <cell r="L257">
            <v>758.75492837379204</v>
          </cell>
          <cell r="M257">
            <v>1071.6862624461087</v>
          </cell>
          <cell r="N257">
            <v>288.72677793691685</v>
          </cell>
          <cell r="O257">
            <v>607.1945079288223</v>
          </cell>
          <cell r="P257">
            <v>978.49033958751443</v>
          </cell>
        </row>
        <row r="258">
          <cell r="A258">
            <v>256</v>
          </cell>
          <cell r="C258" t="str">
            <v>6-6 LE Revenue</v>
          </cell>
          <cell r="E258">
            <v>378.61627700000008</v>
          </cell>
          <cell r="F258">
            <v>690.91516458000001</v>
          </cell>
          <cell r="G258">
            <v>1051.06870959</v>
          </cell>
          <cell r="H258">
            <v>288.07063384999998</v>
          </cell>
          <cell r="I258">
            <v>560.61480830000005</v>
          </cell>
          <cell r="J258">
            <v>905.83902519000003</v>
          </cell>
          <cell r="K258">
            <v>394.40921205457857</v>
          </cell>
          <cell r="L258">
            <v>773.88939347034511</v>
          </cell>
          <cell r="M258">
            <v>1095.9595830763474</v>
          </cell>
          <cell r="N258">
            <v>311.52617857771634</v>
          </cell>
          <cell r="O258">
            <v>662.56712354271644</v>
          </cell>
          <cell r="P258">
            <v>1082.8893280823449</v>
          </cell>
        </row>
        <row r="259">
          <cell r="A259">
            <v>257</v>
          </cell>
          <cell r="C259" t="str">
            <v>7-5 LE Revenue</v>
          </cell>
          <cell r="E259">
            <v>378.61627700000008</v>
          </cell>
          <cell r="F259">
            <v>690.91516458000001</v>
          </cell>
          <cell r="G259">
            <v>1051.06870959</v>
          </cell>
          <cell r="H259">
            <v>288.07063384999998</v>
          </cell>
          <cell r="I259">
            <v>560.61480830000005</v>
          </cell>
          <cell r="J259">
            <v>833.15898275000006</v>
          </cell>
          <cell r="K259">
            <v>345.22421689000004</v>
          </cell>
          <cell r="L259">
            <v>1251.06324208</v>
          </cell>
          <cell r="M259">
            <v>1601.5916182000001</v>
          </cell>
          <cell r="N259">
            <v>388.2491814157666</v>
          </cell>
          <cell r="O259">
            <v>710.08837102176892</v>
          </cell>
          <cell r="P259">
            <v>1770.7051181635379</v>
          </cell>
        </row>
        <row r="260">
          <cell r="A260">
            <v>258</v>
          </cell>
        </row>
        <row r="261">
          <cell r="A261">
            <v>259</v>
          </cell>
          <cell r="C261" t="str">
            <v>3-9 LE Fuel &amp; Purchased Power</v>
          </cell>
          <cell r="E261">
            <v>188.86915300000001</v>
          </cell>
          <cell r="F261">
            <v>341.89246961000003</v>
          </cell>
          <cell r="G261">
            <v>518.49841986000001</v>
          </cell>
          <cell r="H261">
            <v>129.72380224382945</v>
          </cell>
          <cell r="I261">
            <v>262.88316620476917</v>
          </cell>
          <cell r="J261">
            <v>427.26066818365553</v>
          </cell>
          <cell r="K261">
            <v>189.78590248375914</v>
          </cell>
          <cell r="L261">
            <v>369.96808328366632</v>
          </cell>
          <cell r="M261">
            <v>520.56875436693099</v>
          </cell>
          <cell r="N261">
            <v>143.9623923912639</v>
          </cell>
          <cell r="O261">
            <v>305.76821911073694</v>
          </cell>
          <cell r="P261">
            <v>495.72890362396311</v>
          </cell>
        </row>
        <row r="262">
          <cell r="A262">
            <v>260</v>
          </cell>
          <cell r="C262" t="str">
            <v>6-6 LE Fuel &amp; Purchased Power</v>
          </cell>
          <cell r="E262">
            <v>188.86915300000001</v>
          </cell>
          <cell r="F262">
            <v>341.89246961000003</v>
          </cell>
          <cell r="G262">
            <v>518.49841986000001</v>
          </cell>
          <cell r="H262">
            <v>132.97921802000002</v>
          </cell>
          <cell r="I262">
            <v>260.24912134000004</v>
          </cell>
          <cell r="J262">
            <v>417.54413712000007</v>
          </cell>
          <cell r="K262">
            <v>195.18968424205991</v>
          </cell>
          <cell r="L262">
            <v>381.43155247662332</v>
          </cell>
          <cell r="M262">
            <v>538.52867801556761</v>
          </cell>
          <cell r="N262">
            <v>162.79855129222074</v>
          </cell>
          <cell r="O262">
            <v>351.98791606290871</v>
          </cell>
          <cell r="P262">
            <v>586.49736867066736</v>
          </cell>
        </row>
        <row r="263">
          <cell r="A263">
            <v>261</v>
          </cell>
          <cell r="C263" t="str">
            <v>7-5 LE Fuel &amp; Purchased Power</v>
          </cell>
          <cell r="E263">
            <v>188.86915300000001</v>
          </cell>
          <cell r="F263">
            <v>341.89246961000003</v>
          </cell>
          <cell r="G263">
            <v>518.49841986000001</v>
          </cell>
          <cell r="H263">
            <v>518.49841986000001</v>
          </cell>
          <cell r="I263">
            <v>651.47763787999997</v>
          </cell>
          <cell r="J263">
            <v>778.7475412</v>
          </cell>
          <cell r="K263">
            <v>157.29501578</v>
          </cell>
          <cell r="L263">
            <v>574.83915290000004</v>
          </cell>
          <cell r="M263">
            <v>748.08903204000001</v>
          </cell>
          <cell r="N263">
            <v>186.24186823456338</v>
          </cell>
          <cell r="O263">
            <v>343.33899377350764</v>
          </cell>
          <cell r="P263">
            <v>859.92786668701524</v>
          </cell>
        </row>
        <row r="264">
          <cell r="A264">
            <v>262</v>
          </cell>
        </row>
        <row r="265">
          <cell r="A265">
            <v>263</v>
          </cell>
          <cell r="C265" t="str">
            <v>3-9 LE Operating Expenses</v>
          </cell>
          <cell r="E265">
            <v>24.683695790000009</v>
          </cell>
          <cell r="F265">
            <v>69.686989869999991</v>
          </cell>
          <cell r="G265">
            <v>121.04788290999998</v>
          </cell>
          <cell r="H265">
            <v>36.582081000000002</v>
          </cell>
          <cell r="I265">
            <v>79.564161999999996</v>
          </cell>
          <cell r="J265">
            <v>129.44624300000004</v>
          </cell>
          <cell r="K265">
            <v>46.982080999999937</v>
          </cell>
          <cell r="L265">
            <v>95.064161999999953</v>
          </cell>
          <cell r="M265">
            <v>144.88116199999996</v>
          </cell>
          <cell r="N265">
            <v>49.317000000000064</v>
          </cell>
          <cell r="O265">
            <v>93.533999999999992</v>
          </cell>
          <cell r="P265">
            <v>129.601</v>
          </cell>
        </row>
        <row r="266">
          <cell r="A266">
            <v>264</v>
          </cell>
          <cell r="C266" t="str">
            <v>6-6 LE Operating Expenses</v>
          </cell>
          <cell r="E266">
            <v>28.953695790000005</v>
          </cell>
          <cell r="F266">
            <v>78.056989869999995</v>
          </cell>
          <cell r="G266">
            <v>122.13788290999999</v>
          </cell>
          <cell r="H266">
            <v>38.73383963000002</v>
          </cell>
          <cell r="I266">
            <v>70.454852800000069</v>
          </cell>
          <cell r="J266">
            <v>126.82792987999999</v>
          </cell>
          <cell r="K266">
            <v>47.792417013436889</v>
          </cell>
          <cell r="L266">
            <v>96.464721927202575</v>
          </cell>
          <cell r="M266">
            <v>148.72133896233856</v>
          </cell>
          <cell r="N266">
            <v>52.307286798732491</v>
          </cell>
          <cell r="O266">
            <v>97.445186964023549</v>
          </cell>
          <cell r="P266">
            <v>151.75504630842943</v>
          </cell>
        </row>
        <row r="267">
          <cell r="A267">
            <v>265</v>
          </cell>
          <cell r="C267" t="str">
            <v>7-5 LE Operating Expenses</v>
          </cell>
          <cell r="E267">
            <v>28.953695790000005</v>
          </cell>
          <cell r="F267">
            <v>78.056989869999995</v>
          </cell>
          <cell r="G267">
            <v>122.13788290999999</v>
          </cell>
          <cell r="H267">
            <v>38.73383963000002</v>
          </cell>
          <cell r="I267">
            <v>70.454852800000069</v>
          </cell>
          <cell r="J267">
            <v>126.82792987999999</v>
          </cell>
          <cell r="K267">
            <v>47.188164070000042</v>
          </cell>
          <cell r="L267">
            <v>99.629468983765733</v>
          </cell>
          <cell r="M267">
            <v>151.65508601890173</v>
          </cell>
          <cell r="N267">
            <v>47.07628679873244</v>
          </cell>
          <cell r="O267">
            <v>86.98318696402373</v>
          </cell>
          <cell r="P267">
            <v>137.86204630842934</v>
          </cell>
        </row>
        <row r="268">
          <cell r="A268">
            <v>266</v>
          </cell>
        </row>
        <row r="269">
          <cell r="A269">
            <v>267</v>
          </cell>
          <cell r="C269" t="str">
            <v>3-9 LE EBIT</v>
          </cell>
          <cell r="E269">
            <v>125.55256041000007</v>
          </cell>
          <cell r="F269">
            <v>201.70997503000001</v>
          </cell>
          <cell r="G269">
            <v>296.32508452000008</v>
          </cell>
          <cell r="H269">
            <v>73.306927818335566</v>
          </cell>
          <cell r="I269">
            <v>139.47320538619772</v>
          </cell>
          <cell r="J269">
            <v>219.87119989795184</v>
          </cell>
          <cell r="K269">
            <v>107.46575457468644</v>
          </cell>
          <cell r="L269">
            <v>209.14468309012571</v>
          </cell>
          <cell r="M269">
            <v>284.30734607917765</v>
          </cell>
          <cell r="N269">
            <v>61.702385545652952</v>
          </cell>
          <cell r="O269">
            <v>139.98028881808546</v>
          </cell>
          <cell r="P269">
            <v>249.57043596355146</v>
          </cell>
        </row>
        <row r="270">
          <cell r="A270">
            <v>268</v>
          </cell>
          <cell r="C270" t="str">
            <v>6-6 LE EBIT</v>
          </cell>
          <cell r="E270">
            <v>122.28256041000009</v>
          </cell>
          <cell r="F270">
            <v>194.33997503000006</v>
          </cell>
          <cell r="G270">
            <v>296.2350845200001</v>
          </cell>
          <cell r="H270">
            <v>76.468027999999947</v>
          </cell>
          <cell r="I270">
            <v>154.89576685999998</v>
          </cell>
          <cell r="J270">
            <v>246.16081580000002</v>
          </cell>
          <cell r="K270">
            <v>108.02473730251863</v>
          </cell>
          <cell r="L270">
            <v>210.65407471372183</v>
          </cell>
          <cell r="M270">
            <v>285.54946195077991</v>
          </cell>
          <cell r="N270">
            <v>61.71534218216231</v>
          </cell>
          <cell r="O270">
            <v>142.82520547314098</v>
          </cell>
          <cell r="P270">
            <v>238.10096376167741</v>
          </cell>
        </row>
        <row r="271">
          <cell r="A271">
            <v>269</v>
          </cell>
          <cell r="C271" t="str">
            <v>7-5 LE EBIT</v>
          </cell>
          <cell r="E271">
            <v>122.28256041000009</v>
          </cell>
          <cell r="F271">
            <v>194.33997503000006</v>
          </cell>
          <cell r="G271">
            <v>296.2350845200001</v>
          </cell>
          <cell r="H271">
            <v>296.2350845200001</v>
          </cell>
          <cell r="I271">
            <v>372.70311252000005</v>
          </cell>
          <cell r="J271">
            <v>451.13085138000008</v>
          </cell>
          <cell r="K271">
            <v>91.265048940000042</v>
          </cell>
          <cell r="L271">
            <v>337.42586474000007</v>
          </cell>
          <cell r="M271">
            <v>433.29521208000006</v>
          </cell>
          <cell r="N271">
            <v>107.6293374112032</v>
          </cell>
          <cell r="O271">
            <v>182.52472464826127</v>
          </cell>
          <cell r="P271">
            <v>460.91879663652253</v>
          </cell>
        </row>
        <row r="272">
          <cell r="A272">
            <v>270</v>
          </cell>
        </row>
        <row r="273">
          <cell r="A273">
            <v>271</v>
          </cell>
          <cell r="C273" t="str">
            <v>3-9 LE Net Income</v>
          </cell>
          <cell r="E273">
            <v>87.02169441000008</v>
          </cell>
          <cell r="F273">
            <v>76.448386130000031</v>
          </cell>
          <cell r="G273">
            <v>119.53612196000009</v>
          </cell>
          <cell r="H273">
            <v>22.309215247368058</v>
          </cell>
          <cell r="I273">
            <v>40.191227339442577</v>
          </cell>
          <cell r="J273">
            <v>66.896903936730126</v>
          </cell>
          <cell r="K273">
            <v>43.487687836305582</v>
          </cell>
          <cell r="L273">
            <v>83.387543515877951</v>
          </cell>
          <cell r="M273">
            <v>106.84731456909014</v>
          </cell>
          <cell r="N273">
            <v>15.114399038304839</v>
          </cell>
          <cell r="O273">
            <v>40.50561906721299</v>
          </cell>
          <cell r="P273">
            <v>75.510430297401911</v>
          </cell>
        </row>
        <row r="274">
          <cell r="A274">
            <v>272</v>
          </cell>
          <cell r="C274" t="str">
            <v>6-6 LE Net Income</v>
          </cell>
          <cell r="E274">
            <v>83.751694410000098</v>
          </cell>
          <cell r="F274">
            <v>69.078386130000055</v>
          </cell>
          <cell r="G274">
            <v>119.44612196000011</v>
          </cell>
          <cell r="H274">
            <v>23.917105539999937</v>
          </cell>
          <cell r="I274">
            <v>48.648213379999959</v>
          </cell>
          <cell r="J274">
            <v>82.328497970000001</v>
          </cell>
          <cell r="K274">
            <v>45.23307187361192</v>
          </cell>
          <cell r="L274">
            <v>87.013087816781962</v>
          </cell>
          <cell r="M274">
            <v>111.04337564849911</v>
          </cell>
          <cell r="N274">
            <v>15.595058996583873</v>
          </cell>
          <cell r="O274">
            <v>43.602611502810248</v>
          </cell>
          <cell r="P274">
            <v>80.676336807473575</v>
          </cell>
        </row>
        <row r="275">
          <cell r="A275">
            <v>273</v>
          </cell>
          <cell r="C275" t="str">
            <v>7-5 LE Net Income</v>
          </cell>
          <cell r="E275">
            <v>83.751694410000098</v>
          </cell>
          <cell r="F275">
            <v>69.078386130000055</v>
          </cell>
          <cell r="G275">
            <v>119.44612196000011</v>
          </cell>
          <cell r="H275">
            <v>23.917105539999937</v>
          </cell>
          <cell r="I275">
            <v>48.648213379999959</v>
          </cell>
          <cell r="J275">
            <v>82.328497970000001</v>
          </cell>
          <cell r="K275">
            <v>41.128582499999993</v>
          </cell>
          <cell r="L275">
            <v>86.108598443170052</v>
          </cell>
          <cell r="M275">
            <v>110.1388862748872</v>
          </cell>
          <cell r="N275">
            <v>18.795058996583862</v>
          </cell>
          <cell r="O275">
            <v>50.002611502810225</v>
          </cell>
          <cell r="P275">
            <v>89.124336807473554</v>
          </cell>
        </row>
        <row r="276">
          <cell r="A276">
            <v>274</v>
          </cell>
        </row>
        <row r="277">
          <cell r="A277">
            <v>275</v>
          </cell>
          <cell r="B277" t="str">
            <v>Cash Flow</v>
          </cell>
        </row>
        <row r="278">
          <cell r="A278">
            <v>276</v>
          </cell>
          <cell r="C278" t="str">
            <v>Net Income</v>
          </cell>
          <cell r="E278">
            <v>0</v>
          </cell>
          <cell r="F278">
            <v>0</v>
          </cell>
          <cell r="G278">
            <v>122</v>
          </cell>
          <cell r="H278">
            <v>147</v>
          </cell>
          <cell r="I278">
            <v>168</v>
          </cell>
          <cell r="J278">
            <v>207</v>
          </cell>
          <cell r="K278">
            <v>0</v>
          </cell>
          <cell r="L278">
            <v>0</v>
          </cell>
          <cell r="M278">
            <v>0</v>
          </cell>
          <cell r="N278">
            <v>0</v>
          </cell>
          <cell r="O278">
            <v>0</v>
          </cell>
          <cell r="P278">
            <v>0</v>
          </cell>
        </row>
        <row r="279">
          <cell r="A279">
            <v>277</v>
          </cell>
          <cell r="C279" t="str">
            <v>D&amp;A</v>
          </cell>
          <cell r="E279">
            <v>0</v>
          </cell>
          <cell r="F279">
            <v>0</v>
          </cell>
          <cell r="G279">
            <v>101</v>
          </cell>
          <cell r="H279">
            <v>132</v>
          </cell>
          <cell r="I279">
            <v>163</v>
          </cell>
          <cell r="J279">
            <v>200</v>
          </cell>
          <cell r="K279">
            <v>0</v>
          </cell>
          <cell r="L279">
            <v>0</v>
          </cell>
          <cell r="M279">
            <v>0</v>
          </cell>
          <cell r="N279">
            <v>0</v>
          </cell>
          <cell r="O279">
            <v>0</v>
          </cell>
          <cell r="P279">
            <v>0</v>
          </cell>
        </row>
        <row r="280">
          <cell r="A280">
            <v>278</v>
          </cell>
          <cell r="C280" t="str">
            <v>Changes in Working Capital/Other</v>
          </cell>
          <cell r="E280">
            <v>0</v>
          </cell>
          <cell r="F280">
            <v>0</v>
          </cell>
          <cell r="G280">
            <v>-299</v>
          </cell>
          <cell r="H280">
            <v>-238</v>
          </cell>
          <cell r="I280">
            <v>-253</v>
          </cell>
          <cell r="J280">
            <v>-108</v>
          </cell>
          <cell r="K280">
            <v>0</v>
          </cell>
          <cell r="L280">
            <v>0</v>
          </cell>
          <cell r="M280">
            <v>0</v>
          </cell>
          <cell r="N280">
            <v>0</v>
          </cell>
          <cell r="O280">
            <v>0</v>
          </cell>
          <cell r="P280">
            <v>0</v>
          </cell>
        </row>
        <row r="281">
          <cell r="A281">
            <v>279</v>
          </cell>
          <cell r="C281" t="str">
            <v>Capital Expenditures</v>
          </cell>
          <cell r="E281">
            <v>0</v>
          </cell>
          <cell r="F281">
            <v>0</v>
          </cell>
          <cell r="G281">
            <v>-57</v>
          </cell>
          <cell r="H281">
            <v>-74</v>
          </cell>
          <cell r="I281">
            <v>-93</v>
          </cell>
          <cell r="J281">
            <v>-120</v>
          </cell>
          <cell r="K281">
            <v>0</v>
          </cell>
          <cell r="L281">
            <v>0</v>
          </cell>
          <cell r="M281">
            <v>0</v>
          </cell>
          <cell r="N281">
            <v>0</v>
          </cell>
          <cell r="O281">
            <v>0</v>
          </cell>
          <cell r="P281">
            <v>0</v>
          </cell>
        </row>
        <row r="282">
          <cell r="A282">
            <v>280</v>
          </cell>
          <cell r="C282" t="str">
            <v>Decrease (Increase) Affiliate Rec/Pay</v>
          </cell>
          <cell r="E282">
            <v>0</v>
          </cell>
          <cell r="F282">
            <v>0</v>
          </cell>
          <cell r="G282">
            <v>-46</v>
          </cell>
          <cell r="H282">
            <v>399</v>
          </cell>
          <cell r="I282">
            <v>-44</v>
          </cell>
          <cell r="J282">
            <v>0</v>
          </cell>
          <cell r="K282">
            <v>0</v>
          </cell>
          <cell r="L282">
            <v>0</v>
          </cell>
          <cell r="M282">
            <v>0</v>
          </cell>
          <cell r="N282">
            <v>0</v>
          </cell>
          <cell r="O282">
            <v>0</v>
          </cell>
          <cell r="P282">
            <v>0</v>
          </cell>
        </row>
        <row r="283">
          <cell r="A283">
            <v>281</v>
          </cell>
          <cell r="C283" t="str">
            <v>Other</v>
          </cell>
          <cell r="E283">
            <v>0</v>
          </cell>
          <cell r="F283">
            <v>0</v>
          </cell>
          <cell r="G283">
            <v>11</v>
          </cell>
          <cell r="H283">
            <v>-33</v>
          </cell>
          <cell r="I283">
            <v>34</v>
          </cell>
          <cell r="J283">
            <v>32</v>
          </cell>
          <cell r="K283">
            <v>0</v>
          </cell>
          <cell r="L283">
            <v>0</v>
          </cell>
          <cell r="M283">
            <v>0</v>
          </cell>
          <cell r="N283">
            <v>0</v>
          </cell>
          <cell r="O283">
            <v>0</v>
          </cell>
          <cell r="P283">
            <v>0</v>
          </cell>
        </row>
        <row r="284">
          <cell r="A284">
            <v>282</v>
          </cell>
          <cell r="C284" t="str">
            <v>Increase in Notes Payable-Bank</v>
          </cell>
          <cell r="E284">
            <v>0</v>
          </cell>
          <cell r="F284">
            <v>0</v>
          </cell>
          <cell r="G284">
            <v>173</v>
          </cell>
          <cell r="H284">
            <v>146</v>
          </cell>
          <cell r="I284">
            <v>160</v>
          </cell>
          <cell r="J284">
            <v>-122</v>
          </cell>
          <cell r="K284">
            <v>0</v>
          </cell>
          <cell r="L284">
            <v>0</v>
          </cell>
          <cell r="M284">
            <v>0</v>
          </cell>
          <cell r="N284">
            <v>0</v>
          </cell>
          <cell r="O284">
            <v>0</v>
          </cell>
          <cell r="P284">
            <v>0</v>
          </cell>
        </row>
        <row r="285">
          <cell r="A285">
            <v>283</v>
          </cell>
          <cell r="C285" t="str">
            <v>Retirement/ Long Term Debt</v>
          </cell>
          <cell r="E285">
            <v>0</v>
          </cell>
          <cell r="F285">
            <v>0</v>
          </cell>
          <cell r="G285">
            <v>-118</v>
          </cell>
          <cell r="H285">
            <v>-118</v>
          </cell>
          <cell r="I285">
            <v>-171</v>
          </cell>
          <cell r="J285">
            <v>-172</v>
          </cell>
          <cell r="K285">
            <v>0</v>
          </cell>
          <cell r="L285">
            <v>0</v>
          </cell>
          <cell r="M285">
            <v>0</v>
          </cell>
          <cell r="N285">
            <v>0</v>
          </cell>
          <cell r="O285">
            <v>0</v>
          </cell>
          <cell r="P285">
            <v>0</v>
          </cell>
        </row>
        <row r="286">
          <cell r="A286">
            <v>284</v>
          </cell>
          <cell r="C286" t="str">
            <v>Dividends</v>
          </cell>
          <cell r="E286">
            <v>0</v>
          </cell>
          <cell r="F286">
            <v>0</v>
          </cell>
          <cell r="G286">
            <v>-47</v>
          </cell>
          <cell r="H286">
            <v>-47</v>
          </cell>
          <cell r="I286">
            <v>-49</v>
          </cell>
          <cell r="J286">
            <v>-105</v>
          </cell>
          <cell r="K286">
            <v>0</v>
          </cell>
          <cell r="L286">
            <v>0</v>
          </cell>
          <cell r="M286">
            <v>0</v>
          </cell>
          <cell r="N286">
            <v>0</v>
          </cell>
          <cell r="O286">
            <v>0</v>
          </cell>
          <cell r="P286">
            <v>0</v>
          </cell>
        </row>
        <row r="287">
          <cell r="A287">
            <v>285</v>
          </cell>
          <cell r="C287" t="str">
            <v>Settlement Interest Rate Swap</v>
          </cell>
          <cell r="E287">
            <v>0</v>
          </cell>
          <cell r="F287">
            <v>0</v>
          </cell>
          <cell r="G287">
            <v>31</v>
          </cell>
          <cell r="H287">
            <v>31</v>
          </cell>
          <cell r="I287">
            <v>31</v>
          </cell>
          <cell r="J287">
            <v>31</v>
          </cell>
          <cell r="K287">
            <v>0</v>
          </cell>
          <cell r="L287">
            <v>0</v>
          </cell>
          <cell r="M287">
            <v>0</v>
          </cell>
          <cell r="N287">
            <v>0</v>
          </cell>
          <cell r="O287">
            <v>0</v>
          </cell>
          <cell r="P287">
            <v>0</v>
          </cell>
        </row>
        <row r="288">
          <cell r="A288">
            <v>286</v>
          </cell>
          <cell r="C288" t="str">
            <v>Change in restricted cash</v>
          </cell>
          <cell r="E288">
            <v>0</v>
          </cell>
          <cell r="F288">
            <v>0</v>
          </cell>
          <cell r="G288">
            <v>0</v>
          </cell>
          <cell r="H288">
            <v>65</v>
          </cell>
          <cell r="I288">
            <v>24</v>
          </cell>
          <cell r="J288">
            <v>-16</v>
          </cell>
          <cell r="K288">
            <v>0</v>
          </cell>
          <cell r="L288">
            <v>0</v>
          </cell>
          <cell r="M288">
            <v>0</v>
          </cell>
          <cell r="N288">
            <v>0</v>
          </cell>
          <cell r="O288">
            <v>0</v>
          </cell>
          <cell r="P288">
            <v>0</v>
          </cell>
        </row>
        <row r="289">
          <cell r="A289">
            <v>287</v>
          </cell>
        </row>
        <row r="290">
          <cell r="A290">
            <v>288</v>
          </cell>
          <cell r="B290" t="str">
            <v>Cap Ex</v>
          </cell>
        </row>
        <row r="291">
          <cell r="A291">
            <v>289</v>
          </cell>
          <cell r="C291" t="str">
            <v>Monthly</v>
          </cell>
        </row>
        <row r="292">
          <cell r="A292">
            <v>290</v>
          </cell>
          <cell r="C292" t="str">
            <v>Cap Ex Actual (Total)</v>
          </cell>
          <cell r="E292">
            <v>15.1</v>
          </cell>
          <cell r="F292">
            <v>15.4</v>
          </cell>
          <cell r="G292">
            <v>27.8</v>
          </cell>
          <cell r="H292">
            <v>16.7</v>
          </cell>
          <cell r="I292">
            <v>18.3</v>
          </cell>
          <cell r="J292">
            <v>26.204000000000001</v>
          </cell>
          <cell r="K292">
            <v>23.068000000000001</v>
          </cell>
          <cell r="L292">
            <v>0</v>
          </cell>
          <cell r="M292">
            <v>0</v>
          </cell>
          <cell r="N292">
            <v>0</v>
          </cell>
          <cell r="O292">
            <v>0</v>
          </cell>
          <cell r="P292">
            <v>0</v>
          </cell>
        </row>
        <row r="293">
          <cell r="A293">
            <v>291</v>
          </cell>
          <cell r="C293" t="str">
            <v>Cap Ex Budget</v>
          </cell>
          <cell r="E293">
            <v>21.481763999999998</v>
          </cell>
          <cell r="F293">
            <v>20.012181000000002</v>
          </cell>
          <cell r="G293">
            <v>22.425255</v>
          </cell>
          <cell r="H293">
            <v>22.896467999999999</v>
          </cell>
          <cell r="I293">
            <v>24.159032</v>
          </cell>
          <cell r="J293">
            <v>23.382874000000001</v>
          </cell>
          <cell r="K293">
            <v>23.444109999999998</v>
          </cell>
          <cell r="L293">
            <v>23.089335999999999</v>
          </cell>
          <cell r="M293">
            <v>21.489720999999999</v>
          </cell>
          <cell r="N293">
            <v>21.504860000000001</v>
          </cell>
          <cell r="O293">
            <v>20.421693999999999</v>
          </cell>
          <cell r="P293">
            <v>20.480136999999999</v>
          </cell>
        </row>
        <row r="294">
          <cell r="A294">
            <v>292</v>
          </cell>
        </row>
        <row r="295">
          <cell r="A295">
            <v>293</v>
          </cell>
          <cell r="C295" t="str">
            <v>YTD</v>
          </cell>
        </row>
        <row r="296">
          <cell r="A296">
            <v>294</v>
          </cell>
          <cell r="C296" t="str">
            <v>Cap Ex Actual (Growth)</v>
          </cell>
          <cell r="E296">
            <v>7.862333333333333</v>
          </cell>
          <cell r="F296">
            <v>15.724666666666666</v>
          </cell>
          <cell r="G296">
            <v>23.587</v>
          </cell>
          <cell r="H296">
            <v>31.890500000000003</v>
          </cell>
          <cell r="I296">
            <v>40.194000000000003</v>
          </cell>
          <cell r="J296">
            <v>48.695</v>
          </cell>
          <cell r="K296">
            <v>48.695</v>
          </cell>
          <cell r="L296">
            <v>48.695</v>
          </cell>
          <cell r="M296">
            <v>48.695</v>
          </cell>
          <cell r="N296">
            <v>48.695</v>
          </cell>
          <cell r="O296">
            <v>48.695</v>
          </cell>
          <cell r="P296">
            <v>48.695</v>
          </cell>
        </row>
        <row r="297">
          <cell r="A297">
            <v>295</v>
          </cell>
          <cell r="C297" t="str">
            <v>Cap Ex Actual (Maintenance)</v>
          </cell>
          <cell r="E297">
            <v>11.424333333333335</v>
          </cell>
          <cell r="F297">
            <v>22.84866666666667</v>
          </cell>
          <cell r="G297">
            <v>34.273000000000003</v>
          </cell>
          <cell r="H297">
            <v>43.712000000000003</v>
          </cell>
          <cell r="I297">
            <v>53.151000000000003</v>
          </cell>
          <cell r="J297">
            <v>70.853999999999999</v>
          </cell>
          <cell r="K297">
            <v>70.853999999999999</v>
          </cell>
          <cell r="L297">
            <v>70.853999999999999</v>
          </cell>
          <cell r="M297">
            <v>70.853999999999999</v>
          </cell>
          <cell r="N297">
            <v>70.853999999999999</v>
          </cell>
          <cell r="O297">
            <v>70.853999999999999</v>
          </cell>
          <cell r="P297">
            <v>70.853999999999999</v>
          </cell>
        </row>
        <row r="298">
          <cell r="A298">
            <v>296</v>
          </cell>
          <cell r="C298" t="str">
            <v>Cap Ex Actual (Total)</v>
          </cell>
          <cell r="E298">
            <v>15.1</v>
          </cell>
          <cell r="F298">
            <v>30.5</v>
          </cell>
          <cell r="G298">
            <v>58.3</v>
          </cell>
          <cell r="H298">
            <v>75</v>
          </cell>
          <cell r="I298">
            <v>93.3</v>
          </cell>
          <cell r="J298">
            <v>119.50399999999999</v>
          </cell>
          <cell r="K298">
            <v>142.572</v>
          </cell>
          <cell r="L298">
            <v>142.572</v>
          </cell>
          <cell r="M298">
            <v>142.572</v>
          </cell>
          <cell r="N298">
            <v>142.572</v>
          </cell>
          <cell r="O298">
            <v>142.572</v>
          </cell>
          <cell r="P298">
            <v>142.572</v>
          </cell>
        </row>
        <row r="299">
          <cell r="A299">
            <v>297</v>
          </cell>
          <cell r="C299" t="str">
            <v>Cap Ex Budget YTD</v>
          </cell>
          <cell r="E299">
            <v>21.481763999999998</v>
          </cell>
          <cell r="F299">
            <v>41.493944999999997</v>
          </cell>
          <cell r="G299">
            <v>63.919199999999996</v>
          </cell>
          <cell r="H299">
            <v>86.815667999999988</v>
          </cell>
          <cell r="I299">
            <v>110.97469999999998</v>
          </cell>
          <cell r="J299">
            <v>134.357574</v>
          </cell>
          <cell r="K299">
            <v>157.80168399999999</v>
          </cell>
          <cell r="L299">
            <v>180.89102</v>
          </cell>
          <cell r="M299">
            <v>202.380741</v>
          </cell>
          <cell r="N299">
            <v>223.88560100000001</v>
          </cell>
          <cell r="O299">
            <v>244.30729500000001</v>
          </cell>
          <cell r="P299">
            <v>264.78743200000002</v>
          </cell>
        </row>
        <row r="300">
          <cell r="A300">
            <v>298</v>
          </cell>
        </row>
        <row r="301">
          <cell r="A301">
            <v>299</v>
          </cell>
          <cell r="C301" t="str">
            <v>LE</v>
          </cell>
        </row>
        <row r="302">
          <cell r="A302">
            <v>300</v>
          </cell>
          <cell r="C302" t="str">
            <v>3-9 YTD LE (Growth)</v>
          </cell>
          <cell r="E302">
            <v>7.862333333333333</v>
          </cell>
          <cell r="F302">
            <v>15.724666666666666</v>
          </cell>
          <cell r="G302">
            <v>23.587</v>
          </cell>
          <cell r="H302">
            <v>32.783999999999999</v>
          </cell>
          <cell r="I302">
            <v>42.311999999999998</v>
          </cell>
          <cell r="J302">
            <v>51.927999999999997</v>
          </cell>
          <cell r="K302">
            <v>61.553999999999995</v>
          </cell>
          <cell r="L302">
            <v>71.503999999999991</v>
          </cell>
          <cell r="M302">
            <v>80.967999999999989</v>
          </cell>
          <cell r="N302">
            <v>90.144999999999982</v>
          </cell>
          <cell r="O302">
            <v>98.60499999999999</v>
          </cell>
          <cell r="P302">
            <v>106.73199999999999</v>
          </cell>
        </row>
        <row r="303">
          <cell r="A303">
            <v>301</v>
          </cell>
          <cell r="C303" t="str">
            <v>6-6 YTD LE (Growth)</v>
          </cell>
          <cell r="E303">
            <v>7.862333333333333</v>
          </cell>
          <cell r="F303">
            <v>15.724666666666666</v>
          </cell>
          <cell r="G303">
            <v>23.587</v>
          </cell>
          <cell r="H303">
            <v>31.890500000000003</v>
          </cell>
          <cell r="I303">
            <v>40.194000000000003</v>
          </cell>
          <cell r="J303">
            <v>48.695</v>
          </cell>
          <cell r="K303">
            <v>58.150999999999996</v>
          </cell>
          <cell r="L303">
            <v>67.530999999999992</v>
          </cell>
          <cell r="M303">
            <v>76.27</v>
          </cell>
          <cell r="N303">
            <v>85.183999999999997</v>
          </cell>
          <cell r="O303">
            <v>93.850999999999999</v>
          </cell>
          <cell r="P303">
            <v>102.184</v>
          </cell>
        </row>
        <row r="304">
          <cell r="A304">
            <v>302</v>
          </cell>
          <cell r="C304" t="str">
            <v>9-3 YTD LE (Growth)</v>
          </cell>
          <cell r="E304">
            <v>7.862333333333333</v>
          </cell>
          <cell r="F304">
            <v>15.724666666666666</v>
          </cell>
          <cell r="G304">
            <v>23.587</v>
          </cell>
          <cell r="H304">
            <v>31.890500000000003</v>
          </cell>
          <cell r="I304">
            <v>40.194000000000003</v>
          </cell>
          <cell r="J304">
            <v>48.695</v>
          </cell>
          <cell r="K304">
            <v>0</v>
          </cell>
          <cell r="L304">
            <v>0</v>
          </cell>
          <cell r="M304">
            <v>0</v>
          </cell>
          <cell r="N304">
            <v>0</v>
          </cell>
          <cell r="O304">
            <v>0</v>
          </cell>
          <cell r="P304">
            <v>0</v>
          </cell>
        </row>
        <row r="305">
          <cell r="A305">
            <v>303</v>
          </cell>
        </row>
        <row r="306">
          <cell r="A306">
            <v>304</v>
          </cell>
          <cell r="C306" t="str">
            <v>3-9 YTD LE (Maintenance)</v>
          </cell>
          <cell r="E306">
            <v>11.424333333333335</v>
          </cell>
          <cell r="F306">
            <v>22.84866666666667</v>
          </cell>
          <cell r="G306">
            <v>34.273000000000003</v>
          </cell>
          <cell r="H306">
            <v>48.457000000000001</v>
          </cell>
          <cell r="I306">
            <v>62.921999999999997</v>
          </cell>
          <cell r="J306">
            <v>77.188000000000002</v>
          </cell>
          <cell r="K306">
            <v>91.50200000000001</v>
          </cell>
          <cell r="L306">
            <v>105.947</v>
          </cell>
          <cell r="M306">
            <v>119.86</v>
          </cell>
          <cell r="N306">
            <v>133.83799999999999</v>
          </cell>
          <cell r="O306">
            <v>147.77099999999999</v>
          </cell>
          <cell r="P306">
            <v>161.34799999999998</v>
          </cell>
        </row>
        <row r="307">
          <cell r="A307">
            <v>305</v>
          </cell>
          <cell r="C307" t="str">
            <v>6-6 YTD LE (Maintenance)</v>
          </cell>
          <cell r="E307">
            <v>11.424333333333335</v>
          </cell>
          <cell r="F307">
            <v>22.84866666666667</v>
          </cell>
          <cell r="G307">
            <v>34.273000000000003</v>
          </cell>
          <cell r="H307">
            <v>43.712000000000003</v>
          </cell>
          <cell r="I307">
            <v>53.151000000000003</v>
          </cell>
          <cell r="J307">
            <v>70.853999999999999</v>
          </cell>
          <cell r="K307">
            <v>85.822999999999993</v>
          </cell>
          <cell r="L307">
            <v>100.919</v>
          </cell>
          <cell r="M307">
            <v>115.65599999999999</v>
          </cell>
          <cell r="N307">
            <v>130.273</v>
          </cell>
          <cell r="O307">
            <v>144.80099999999999</v>
          </cell>
          <cell r="P307">
            <v>158.74099999999999</v>
          </cell>
        </row>
        <row r="308">
          <cell r="A308">
            <v>306</v>
          </cell>
          <cell r="C308" t="str">
            <v>9-3 YTD LE (Maintenance)</v>
          </cell>
          <cell r="E308">
            <v>11.424333333333335</v>
          </cell>
          <cell r="F308">
            <v>22.84866666666667</v>
          </cell>
          <cell r="G308">
            <v>34.273000000000003</v>
          </cell>
          <cell r="H308">
            <v>43.712000000000003</v>
          </cell>
          <cell r="I308">
            <v>53.151000000000003</v>
          </cell>
          <cell r="J308">
            <v>70.853999999999999</v>
          </cell>
          <cell r="K308">
            <v>0</v>
          </cell>
          <cell r="L308">
            <v>0</v>
          </cell>
          <cell r="M308">
            <v>0</v>
          </cell>
          <cell r="N308">
            <v>0</v>
          </cell>
          <cell r="O308">
            <v>0</v>
          </cell>
          <cell r="P308">
            <v>0</v>
          </cell>
        </row>
        <row r="309">
          <cell r="A309">
            <v>307</v>
          </cell>
        </row>
        <row r="310">
          <cell r="A310">
            <v>308</v>
          </cell>
          <cell r="C310" t="str">
            <v>3-9 YTD LE (Total)</v>
          </cell>
          <cell r="E310">
            <v>15.1</v>
          </cell>
          <cell r="F310">
            <v>30.5</v>
          </cell>
          <cell r="G310">
            <v>58.3</v>
          </cell>
          <cell r="H310">
            <v>81.680999999999997</v>
          </cell>
          <cell r="I310">
            <v>105.67400000000001</v>
          </cell>
          <cell r="J310">
            <v>129.55600000000001</v>
          </cell>
          <cell r="K310">
            <v>153.49600000000001</v>
          </cell>
          <cell r="L310">
            <v>177.89100000000002</v>
          </cell>
          <cell r="M310">
            <v>201.26800000000003</v>
          </cell>
          <cell r="N310">
            <v>224.42300000000003</v>
          </cell>
          <cell r="O310">
            <v>246.81600000000003</v>
          </cell>
          <cell r="P310">
            <v>268.52000000000004</v>
          </cell>
        </row>
        <row r="311">
          <cell r="A311">
            <v>309</v>
          </cell>
          <cell r="C311" t="str">
            <v>6-6 YTD LE (Total)</v>
          </cell>
          <cell r="E311">
            <v>15.1</v>
          </cell>
          <cell r="F311">
            <v>30.5</v>
          </cell>
          <cell r="G311">
            <v>58.3</v>
          </cell>
          <cell r="H311">
            <v>75</v>
          </cell>
          <cell r="I311">
            <v>93.3</v>
          </cell>
          <cell r="J311">
            <v>119.50399999999999</v>
          </cell>
          <cell r="K311">
            <v>143.92899999999997</v>
          </cell>
          <cell r="L311">
            <v>168.40499999999997</v>
          </cell>
          <cell r="M311">
            <v>191.88099999999997</v>
          </cell>
          <cell r="N311">
            <v>215.41199999999998</v>
          </cell>
          <cell r="O311">
            <v>238.60699999999997</v>
          </cell>
          <cell r="P311">
            <v>260.88</v>
          </cell>
        </row>
        <row r="312">
          <cell r="A312">
            <v>310</v>
          </cell>
          <cell r="C312" t="str">
            <v>9-3 YTD LE (Total)</v>
          </cell>
          <cell r="E312">
            <v>15.1</v>
          </cell>
          <cell r="F312">
            <v>30.5</v>
          </cell>
          <cell r="G312">
            <v>58.3</v>
          </cell>
          <cell r="H312">
            <v>75</v>
          </cell>
          <cell r="I312">
            <v>93.3</v>
          </cell>
          <cell r="J312">
            <v>119.50399999999999</v>
          </cell>
          <cell r="K312">
            <v>142.572</v>
          </cell>
          <cell r="L312">
            <v>167.024</v>
          </cell>
          <cell r="M312">
            <v>189.95099999999999</v>
          </cell>
          <cell r="N312">
            <v>214.22399999999999</v>
          </cell>
          <cell r="O312">
            <v>237.69199999999998</v>
          </cell>
          <cell r="P312">
            <v>260.79399999999998</v>
          </cell>
        </row>
        <row r="313">
          <cell r="A313">
            <v>311</v>
          </cell>
        </row>
        <row r="314">
          <cell r="A314">
            <v>312</v>
          </cell>
          <cell r="B314" t="str">
            <v>Fringe Benefits &amp; Salaries</v>
          </cell>
        </row>
        <row r="315">
          <cell r="A315">
            <v>313</v>
          </cell>
          <cell r="C315" t="str">
            <v>Fringe Benefits</v>
          </cell>
        </row>
        <row r="316">
          <cell r="A316">
            <v>314</v>
          </cell>
          <cell r="C316" t="str">
            <v>Monthly Actual</v>
          </cell>
          <cell r="E316">
            <v>3.9243948199999998</v>
          </cell>
          <cell r="F316">
            <v>5.9830662300000004</v>
          </cell>
          <cell r="G316">
            <v>3.7861667199999989</v>
          </cell>
          <cell r="H316">
            <v>2.6139004000000003</v>
          </cell>
          <cell r="I316">
            <v>-1.5649854300000001</v>
          </cell>
          <cell r="J316">
            <v>3.5921915700000007</v>
          </cell>
          <cell r="K316">
            <v>4.6910249000000004</v>
          </cell>
          <cell r="L316">
            <v>0</v>
          </cell>
          <cell r="M316">
            <v>0</v>
          </cell>
          <cell r="N316">
            <v>0</v>
          </cell>
          <cell r="O316">
            <v>0</v>
          </cell>
          <cell r="P316">
            <v>0</v>
          </cell>
        </row>
        <row r="317">
          <cell r="A317">
            <v>315</v>
          </cell>
          <cell r="C317" t="str">
            <v>QTD Actual</v>
          </cell>
          <cell r="E317">
            <v>3.9243948199999998</v>
          </cell>
          <cell r="F317">
            <v>9.9074610500000002</v>
          </cell>
          <cell r="G317">
            <v>13.693627769999999</v>
          </cell>
          <cell r="H317">
            <v>2.6139004000000003</v>
          </cell>
          <cell r="I317">
            <v>1.0489149700000002</v>
          </cell>
          <cell r="J317">
            <v>4.6411065400000009</v>
          </cell>
          <cell r="K317">
            <v>4.6910249000000004</v>
          </cell>
          <cell r="L317">
            <v>0</v>
          </cell>
          <cell r="M317">
            <v>0</v>
          </cell>
          <cell r="N317">
            <v>0</v>
          </cell>
          <cell r="O317">
            <v>0</v>
          </cell>
          <cell r="P317">
            <v>0</v>
          </cell>
        </row>
        <row r="318">
          <cell r="A318">
            <v>316</v>
          </cell>
          <cell r="C318" t="str">
            <v>YTD Actual</v>
          </cell>
          <cell r="E318">
            <v>3.9243948199999998</v>
          </cell>
          <cell r="F318">
            <v>9.9074610500000002</v>
          </cell>
          <cell r="G318">
            <v>13.693627770000001</v>
          </cell>
          <cell r="H318">
            <v>16.307528170000001</v>
          </cell>
          <cell r="I318">
            <v>14.742542740000001</v>
          </cell>
          <cell r="J318">
            <v>18.334734310000002</v>
          </cell>
          <cell r="K318">
            <v>23.02575921</v>
          </cell>
          <cell r="L318">
            <v>0</v>
          </cell>
          <cell r="M318">
            <v>0</v>
          </cell>
          <cell r="N318">
            <v>0</v>
          </cell>
          <cell r="O318">
            <v>0</v>
          </cell>
          <cell r="P318">
            <v>0</v>
          </cell>
        </row>
        <row r="319">
          <cell r="A319">
            <v>317</v>
          </cell>
        </row>
        <row r="320">
          <cell r="A320">
            <v>318</v>
          </cell>
          <cell r="C320" t="str">
            <v>Monthly Budget</v>
          </cell>
          <cell r="E320">
            <v>2.7240000000000002</v>
          </cell>
          <cell r="F320">
            <v>2.4859999999999998</v>
          </cell>
          <cell r="G320">
            <v>2.7469999999999999</v>
          </cell>
          <cell r="H320">
            <v>2.657</v>
          </cell>
          <cell r="I320">
            <v>2.7949999999999999</v>
          </cell>
          <cell r="J320">
            <v>2.6660000000000004</v>
          </cell>
          <cell r="K320">
            <v>2.7450000000000001</v>
          </cell>
          <cell r="L320">
            <v>2.76</v>
          </cell>
          <cell r="M320">
            <v>2.6549999999999998</v>
          </cell>
          <cell r="N320">
            <v>2.7989999999999999</v>
          </cell>
          <cell r="O320">
            <v>2.6930000000000001</v>
          </cell>
          <cell r="P320">
            <v>2.7210000000000001</v>
          </cell>
        </row>
        <row r="321">
          <cell r="A321">
            <v>319</v>
          </cell>
          <cell r="C321" t="str">
            <v>QTD Budget</v>
          </cell>
          <cell r="E321">
            <v>2.7240000000000002</v>
          </cell>
          <cell r="F321">
            <v>5.21</v>
          </cell>
          <cell r="G321">
            <v>7.9569999999999999</v>
          </cell>
          <cell r="H321">
            <v>2.657</v>
          </cell>
          <cell r="I321">
            <v>5.452</v>
          </cell>
          <cell r="J321">
            <v>8.1180000000000003</v>
          </cell>
          <cell r="K321">
            <v>2.7450000000000001</v>
          </cell>
          <cell r="L321">
            <v>5.5049999999999999</v>
          </cell>
          <cell r="M321">
            <v>8.16</v>
          </cell>
          <cell r="N321">
            <v>2.7989999999999999</v>
          </cell>
          <cell r="O321">
            <v>5.492</v>
          </cell>
          <cell r="P321">
            <v>8.213000000000001</v>
          </cell>
        </row>
        <row r="322">
          <cell r="A322">
            <v>320</v>
          </cell>
          <cell r="C322" t="str">
            <v>YTD Budget</v>
          </cell>
          <cell r="E322">
            <v>2.7240000000000002</v>
          </cell>
          <cell r="F322">
            <v>5.21</v>
          </cell>
          <cell r="G322">
            <v>7.9569999999999999</v>
          </cell>
          <cell r="H322">
            <v>10.614000000000001</v>
          </cell>
          <cell r="I322">
            <v>13.409000000000001</v>
          </cell>
          <cell r="J322">
            <v>16.075000000000003</v>
          </cell>
          <cell r="K322">
            <v>18.820000000000004</v>
          </cell>
          <cell r="L322">
            <v>21.580000000000005</v>
          </cell>
          <cell r="M322">
            <v>24.235000000000007</v>
          </cell>
          <cell r="N322">
            <v>27.034000000000006</v>
          </cell>
          <cell r="O322">
            <v>29.727000000000007</v>
          </cell>
          <cell r="P322">
            <v>32.448000000000008</v>
          </cell>
        </row>
        <row r="323">
          <cell r="A323">
            <v>321</v>
          </cell>
        </row>
        <row r="324">
          <cell r="A324">
            <v>322</v>
          </cell>
          <cell r="C324" t="str">
            <v>3-9 QTD LE</v>
          </cell>
          <cell r="E324">
            <v>3.9243948199999998</v>
          </cell>
          <cell r="F324">
            <v>9.9074610500000002</v>
          </cell>
          <cell r="G324">
            <v>13.693627769999999</v>
          </cell>
          <cell r="H324">
            <v>0</v>
          </cell>
          <cell r="I324">
            <v>0</v>
          </cell>
          <cell r="J324">
            <v>0</v>
          </cell>
          <cell r="K324">
            <v>0</v>
          </cell>
          <cell r="L324">
            <v>0</v>
          </cell>
          <cell r="M324">
            <v>0</v>
          </cell>
          <cell r="N324">
            <v>0</v>
          </cell>
          <cell r="O324">
            <v>0</v>
          </cell>
          <cell r="P324">
            <v>-11.25</v>
          </cell>
        </row>
        <row r="325">
          <cell r="A325">
            <v>323</v>
          </cell>
          <cell r="C325" t="str">
            <v>6-6 QTD LE</v>
          </cell>
          <cell r="E325">
            <v>3.9243948199999998</v>
          </cell>
          <cell r="F325">
            <v>9.9074610500000002</v>
          </cell>
          <cell r="G325">
            <v>13.693627769999999</v>
          </cell>
          <cell r="H325">
            <v>2.6139004000000003</v>
          </cell>
          <cell r="I325">
            <v>1.0489149700000002</v>
          </cell>
          <cell r="J325">
            <v>4.6411065400000009</v>
          </cell>
          <cell r="K325">
            <v>3.0850361540647575</v>
          </cell>
          <cell r="L325">
            <v>6.2298292935906598</v>
          </cell>
          <cell r="M325">
            <v>9.6180485414252459</v>
          </cell>
          <cell r="N325">
            <v>3.3916604502030068</v>
          </cell>
          <cell r="O325">
            <v>6.6359884896912824</v>
          </cell>
          <cell r="P325">
            <v>10.299480919092549</v>
          </cell>
        </row>
        <row r="326">
          <cell r="A326">
            <v>324</v>
          </cell>
          <cell r="C326" t="str">
            <v>9-3 QTD LE</v>
          </cell>
          <cell r="E326">
            <v>3.9243948199999998</v>
          </cell>
          <cell r="F326">
            <v>9.9074610500000002</v>
          </cell>
          <cell r="G326">
            <v>13.693627769999999</v>
          </cell>
          <cell r="H326">
            <v>13.693627769999999</v>
          </cell>
          <cell r="I326">
            <v>16.307528169999998</v>
          </cell>
          <cell r="J326">
            <v>14.742542739999998</v>
          </cell>
          <cell r="K326">
            <v>3.5921915700000007</v>
          </cell>
          <cell r="L326">
            <v>8.2332981100000016</v>
          </cell>
          <cell r="M326">
            <v>12.924323010000002</v>
          </cell>
          <cell r="N326">
            <v>3.1447931395259028</v>
          </cell>
          <cell r="O326">
            <v>3.3882192478345869</v>
          </cell>
          <cell r="P326">
            <v>11.224037287360488</v>
          </cell>
        </row>
        <row r="327">
          <cell r="A327">
            <v>325</v>
          </cell>
        </row>
        <row r="328">
          <cell r="A328">
            <v>326</v>
          </cell>
          <cell r="C328" t="str">
            <v>3-9 YTD LE</v>
          </cell>
          <cell r="E328">
            <v>3.9243948199999998</v>
          </cell>
          <cell r="F328">
            <v>9.9074610500000002</v>
          </cell>
          <cell r="G328">
            <v>13.693627769999999</v>
          </cell>
          <cell r="H328">
            <v>13.693627769999999</v>
          </cell>
          <cell r="I328">
            <v>13.693627769999999</v>
          </cell>
          <cell r="J328">
            <v>13.693627769999999</v>
          </cell>
          <cell r="K328">
            <v>13.693627769999999</v>
          </cell>
          <cell r="L328">
            <v>13.693627769999999</v>
          </cell>
          <cell r="M328">
            <v>13.693627769999999</v>
          </cell>
          <cell r="N328">
            <v>13.693627769999999</v>
          </cell>
          <cell r="O328">
            <v>13.693627769999999</v>
          </cell>
          <cell r="P328">
            <v>2.4436277699999991</v>
          </cell>
        </row>
        <row r="329">
          <cell r="A329">
            <v>327</v>
          </cell>
          <cell r="C329" t="str">
            <v>6-6 YTD LE</v>
          </cell>
          <cell r="E329">
            <v>3.9243948199999998</v>
          </cell>
          <cell r="F329">
            <v>9.9074610500000002</v>
          </cell>
          <cell r="G329">
            <v>13.693627769999999</v>
          </cell>
          <cell r="H329">
            <v>16.307528169999998</v>
          </cell>
          <cell r="I329">
            <v>14.742542739999998</v>
          </cell>
          <cell r="J329">
            <v>18.334734309999998</v>
          </cell>
          <cell r="K329">
            <v>21.419770464064754</v>
          </cell>
          <cell r="L329">
            <v>24.564563603590656</v>
          </cell>
          <cell r="M329">
            <v>27.952782851425244</v>
          </cell>
          <cell r="N329">
            <v>31.34444330162825</v>
          </cell>
          <cell r="O329">
            <v>34.588771341116527</v>
          </cell>
          <cell r="P329">
            <v>38.252263770517793</v>
          </cell>
        </row>
        <row r="330">
          <cell r="A330">
            <v>328</v>
          </cell>
          <cell r="C330" t="str">
            <v>9-3 YTD LE</v>
          </cell>
          <cell r="E330">
            <v>3.9243948199999998</v>
          </cell>
          <cell r="F330">
            <v>9.9074610500000002</v>
          </cell>
          <cell r="G330">
            <v>13.693627769999999</v>
          </cell>
          <cell r="H330">
            <v>27.387255539999998</v>
          </cell>
          <cell r="I330">
            <v>30.001155939999997</v>
          </cell>
          <cell r="J330">
            <v>28.436170509999997</v>
          </cell>
          <cell r="K330">
            <v>32.028362079999994</v>
          </cell>
          <cell r="L330">
            <v>36.669468619999996</v>
          </cell>
          <cell r="M330">
            <v>41.360493519999999</v>
          </cell>
          <cell r="N330">
            <v>44.5052866595259</v>
          </cell>
          <cell r="O330">
            <v>47.893505907360485</v>
          </cell>
          <cell r="P330">
            <v>59.117543194720973</v>
          </cell>
        </row>
        <row r="331">
          <cell r="A331">
            <v>329</v>
          </cell>
        </row>
        <row r="332">
          <cell r="A332">
            <v>330</v>
          </cell>
          <cell r="C332" t="str">
            <v>Salaries</v>
          </cell>
        </row>
        <row r="333">
          <cell r="A333">
            <v>331</v>
          </cell>
          <cell r="C333" t="str">
            <v>Monthly Actual</v>
          </cell>
          <cell r="E333">
            <v>10.127219589999999</v>
          </cell>
          <cell r="F333">
            <v>11.14968266</v>
          </cell>
          <cell r="G333">
            <v>9.6102007700000005</v>
          </cell>
          <cell r="H333">
            <v>9.8690210799999996</v>
          </cell>
          <cell r="I333">
            <v>10.247396929999999</v>
          </cell>
          <cell r="J333">
            <v>10.5214546</v>
          </cell>
          <cell r="K333">
            <v>11.1516141</v>
          </cell>
          <cell r="L333">
            <v>0</v>
          </cell>
          <cell r="M333">
            <v>0</v>
          </cell>
          <cell r="N333">
            <v>0</v>
          </cell>
          <cell r="O333">
            <v>0</v>
          </cell>
          <cell r="P333">
            <v>0</v>
          </cell>
        </row>
        <row r="334">
          <cell r="A334">
            <v>332</v>
          </cell>
          <cell r="C334" t="str">
            <v>QTD Actual</v>
          </cell>
          <cell r="E334">
            <v>10.127219589999999</v>
          </cell>
          <cell r="F334">
            <v>21.276902249999999</v>
          </cell>
          <cell r="G334">
            <v>30.887103020000001</v>
          </cell>
          <cell r="H334">
            <v>9.8690210799999996</v>
          </cell>
          <cell r="I334">
            <v>20.11641801</v>
          </cell>
          <cell r="J334">
            <v>30.637872610000002</v>
          </cell>
          <cell r="K334">
            <v>11.1516141</v>
          </cell>
          <cell r="L334">
            <v>0</v>
          </cell>
          <cell r="M334">
            <v>0</v>
          </cell>
          <cell r="N334">
            <v>0</v>
          </cell>
          <cell r="O334">
            <v>0</v>
          </cell>
          <cell r="P334">
            <v>0</v>
          </cell>
        </row>
        <row r="335">
          <cell r="A335">
            <v>333</v>
          </cell>
          <cell r="C335" t="str">
            <v>YTD Actual</v>
          </cell>
          <cell r="E335">
            <v>10.127219160000001</v>
          </cell>
          <cell r="F335">
            <v>21.276901819999999</v>
          </cell>
          <cell r="G335">
            <v>30.887102590000001</v>
          </cell>
          <cell r="H335">
            <v>40.756123670000008</v>
          </cell>
          <cell r="I335">
            <v>51.003520600000009</v>
          </cell>
          <cell r="J335">
            <v>61.5249752</v>
          </cell>
          <cell r="K335">
            <v>72.676589300000003</v>
          </cell>
          <cell r="L335">
            <v>0</v>
          </cell>
          <cell r="M335">
            <v>0</v>
          </cell>
          <cell r="N335">
            <v>0</v>
          </cell>
          <cell r="O335">
            <v>0</v>
          </cell>
          <cell r="P335">
            <v>0</v>
          </cell>
        </row>
        <row r="336">
          <cell r="A336">
            <v>334</v>
          </cell>
        </row>
        <row r="337">
          <cell r="A337">
            <v>335</v>
          </cell>
          <cell r="C337" t="str">
            <v>Monthly Budget</v>
          </cell>
          <cell r="E337">
            <v>10.865</v>
          </cell>
          <cell r="F337">
            <v>10.247</v>
          </cell>
          <cell r="G337">
            <v>11.221</v>
          </cell>
          <cell r="H337">
            <v>10.592000000000001</v>
          </cell>
          <cell r="I337">
            <v>11.065000000000001</v>
          </cell>
          <cell r="J337">
            <v>11.202999999999999</v>
          </cell>
          <cell r="K337">
            <v>10.952</v>
          </cell>
          <cell r="L337">
            <v>11.219000000000001</v>
          </cell>
          <cell r="M337">
            <v>10.914999999999999</v>
          </cell>
          <cell r="N337">
            <v>11.038</v>
          </cell>
          <cell r="O337">
            <v>10.84</v>
          </cell>
          <cell r="P337">
            <v>10.865</v>
          </cell>
        </row>
        <row r="338">
          <cell r="A338">
            <v>336</v>
          </cell>
          <cell r="C338" t="str">
            <v>QTD Budget</v>
          </cell>
          <cell r="E338">
            <v>10.865</v>
          </cell>
          <cell r="F338">
            <v>21.112000000000002</v>
          </cell>
          <cell r="G338">
            <v>32.332999999999998</v>
          </cell>
          <cell r="H338">
            <v>10.592000000000001</v>
          </cell>
          <cell r="I338">
            <v>21.657000000000004</v>
          </cell>
          <cell r="J338">
            <v>32.86</v>
          </cell>
          <cell r="K338">
            <v>10.952</v>
          </cell>
          <cell r="L338">
            <v>22.170999999999999</v>
          </cell>
          <cell r="M338">
            <v>33.085999999999999</v>
          </cell>
          <cell r="N338">
            <v>11.038</v>
          </cell>
          <cell r="O338">
            <v>21.878</v>
          </cell>
          <cell r="P338">
            <v>32.743000000000002</v>
          </cell>
        </row>
        <row r="339">
          <cell r="A339">
            <v>337</v>
          </cell>
          <cell r="C339" t="str">
            <v>YTD Budget</v>
          </cell>
          <cell r="E339">
            <v>10.865</v>
          </cell>
          <cell r="F339">
            <v>21.112000000000002</v>
          </cell>
          <cell r="G339">
            <v>32.332999999999998</v>
          </cell>
          <cell r="H339">
            <v>42.924999999999997</v>
          </cell>
          <cell r="I339">
            <v>53.989999999999995</v>
          </cell>
          <cell r="J339">
            <v>65.192999999999998</v>
          </cell>
          <cell r="K339">
            <v>76.144999999999996</v>
          </cell>
          <cell r="L339">
            <v>87.364000000000004</v>
          </cell>
          <cell r="M339">
            <v>98.278999999999996</v>
          </cell>
          <cell r="N339">
            <v>109.31699999999999</v>
          </cell>
          <cell r="O339">
            <v>120.157</v>
          </cell>
          <cell r="P339">
            <v>131.02199999999999</v>
          </cell>
        </row>
        <row r="340">
          <cell r="A340">
            <v>338</v>
          </cell>
        </row>
        <row r="341">
          <cell r="A341">
            <v>339</v>
          </cell>
          <cell r="C341" t="str">
            <v>3-9 QTD LE</v>
          </cell>
          <cell r="E341">
            <v>10.127219589999999</v>
          </cell>
          <cell r="F341">
            <v>21.276902249999999</v>
          </cell>
          <cell r="G341">
            <v>30.887103019999998</v>
          </cell>
          <cell r="H341">
            <v>0</v>
          </cell>
          <cell r="I341">
            <v>0</v>
          </cell>
          <cell r="J341">
            <v>0</v>
          </cell>
          <cell r="K341">
            <v>0</v>
          </cell>
          <cell r="L341">
            <v>0</v>
          </cell>
          <cell r="M341">
            <v>0</v>
          </cell>
          <cell r="N341">
            <v>0</v>
          </cell>
          <cell r="O341">
            <v>0</v>
          </cell>
          <cell r="P341">
            <v>0</v>
          </cell>
        </row>
        <row r="342">
          <cell r="A342">
            <v>340</v>
          </cell>
          <cell r="C342" t="str">
            <v>6-6 QTD LE</v>
          </cell>
          <cell r="E342">
            <v>10.127219589999999</v>
          </cell>
          <cell r="F342">
            <v>21.276902249999999</v>
          </cell>
          <cell r="G342">
            <v>30.887103019999998</v>
          </cell>
          <cell r="H342">
            <v>9.8690210799999996</v>
          </cell>
          <cell r="I342">
            <v>20.116418009999997</v>
          </cell>
          <cell r="J342">
            <v>30.637872609999995</v>
          </cell>
          <cell r="K342">
            <v>11.899994265556645</v>
          </cell>
          <cell r="L342">
            <v>24.030490784183371</v>
          </cell>
          <cell r="M342">
            <v>37.09996148278637</v>
          </cell>
          <cell r="N342">
            <v>13.082744542540567</v>
          </cell>
          <cell r="O342">
            <v>25.597179750901731</v>
          </cell>
          <cell r="P342">
            <v>39.728469215482228</v>
          </cell>
        </row>
        <row r="343">
          <cell r="A343">
            <v>341</v>
          </cell>
          <cell r="C343" t="str">
            <v>9-3 QTD LE</v>
          </cell>
          <cell r="E343">
            <v>10.127219589999999</v>
          </cell>
          <cell r="F343">
            <v>21.276902249999999</v>
          </cell>
          <cell r="G343">
            <v>30.887103019999998</v>
          </cell>
          <cell r="H343">
            <v>30.887103020000001</v>
          </cell>
          <cell r="I343">
            <v>40.756124100000001</v>
          </cell>
          <cell r="J343">
            <v>51.003521030000002</v>
          </cell>
          <cell r="K343">
            <v>10.5214546</v>
          </cell>
          <cell r="L343">
            <v>41.159327210000001</v>
          </cell>
          <cell r="M343">
            <v>52.310941310000004</v>
          </cell>
          <cell r="N343">
            <v>12.130496518626725</v>
          </cell>
          <cell r="O343">
            <v>25.199967217229723</v>
          </cell>
          <cell r="P343">
            <v>61.551548534459457</v>
          </cell>
        </row>
        <row r="344">
          <cell r="A344">
            <v>342</v>
          </cell>
        </row>
        <row r="345">
          <cell r="A345">
            <v>343</v>
          </cell>
          <cell r="C345" t="str">
            <v>3-9 YTD LE</v>
          </cell>
          <cell r="E345">
            <v>10.127219589999999</v>
          </cell>
          <cell r="F345">
            <v>21.276902249999999</v>
          </cell>
          <cell r="G345">
            <v>30.887103019999998</v>
          </cell>
          <cell r="H345">
            <v>30.887103019999998</v>
          </cell>
          <cell r="I345">
            <v>30.887103019999998</v>
          </cell>
          <cell r="J345">
            <v>30.887103019999998</v>
          </cell>
          <cell r="K345">
            <v>30.887103019999998</v>
          </cell>
          <cell r="L345">
            <v>30.887103019999998</v>
          </cell>
          <cell r="M345">
            <v>30.887103019999998</v>
          </cell>
          <cell r="N345">
            <v>30.887103019999998</v>
          </cell>
          <cell r="O345">
            <v>30.887103019999998</v>
          </cell>
          <cell r="P345">
            <v>30.887103019999998</v>
          </cell>
        </row>
        <row r="346">
          <cell r="A346">
            <v>344</v>
          </cell>
          <cell r="C346" t="str">
            <v>6-6 YTD LE</v>
          </cell>
          <cell r="E346">
            <v>10.127219589999999</v>
          </cell>
          <cell r="F346">
            <v>21.276902249999999</v>
          </cell>
          <cell r="G346">
            <v>30.887103019999998</v>
          </cell>
          <cell r="H346">
            <v>40.756124099999994</v>
          </cell>
          <cell r="I346">
            <v>51.003521029999995</v>
          </cell>
          <cell r="J346">
            <v>61.524975629999993</v>
          </cell>
          <cell r="K346">
            <v>73.424969895556643</v>
          </cell>
          <cell r="L346">
            <v>85.555466414183371</v>
          </cell>
          <cell r="M346">
            <v>98.62493711278637</v>
          </cell>
          <cell r="N346">
            <v>111.70768165532694</v>
          </cell>
          <cell r="O346">
            <v>124.2221168636881</v>
          </cell>
          <cell r="P346">
            <v>138.35340632826859</v>
          </cell>
        </row>
        <row r="347">
          <cell r="A347">
            <v>345</v>
          </cell>
          <cell r="C347" t="str">
            <v>9-3 YTD LE</v>
          </cell>
          <cell r="E347">
            <v>10.127219589999999</v>
          </cell>
          <cell r="F347">
            <v>21.276902249999999</v>
          </cell>
          <cell r="G347">
            <v>30.887103019999998</v>
          </cell>
          <cell r="H347">
            <v>61.774206039999996</v>
          </cell>
          <cell r="I347">
            <v>71.643227119999992</v>
          </cell>
          <cell r="J347">
            <v>81.890624049999985</v>
          </cell>
          <cell r="K347">
            <v>92.412078649999984</v>
          </cell>
          <cell r="L347">
            <v>123.04995125999999</v>
          </cell>
          <cell r="M347">
            <v>134.20156535999999</v>
          </cell>
          <cell r="N347">
            <v>146.33206187862672</v>
          </cell>
          <cell r="O347">
            <v>159.40153257722972</v>
          </cell>
          <cell r="P347">
            <v>195.75311389445943</v>
          </cell>
        </row>
        <row r="348">
          <cell r="A348">
            <v>346</v>
          </cell>
        </row>
        <row r="349">
          <cell r="A349">
            <v>347</v>
          </cell>
          <cell r="B349" t="str">
            <v>Dividends to Parents</v>
          </cell>
        </row>
        <row r="350">
          <cell r="A350">
            <v>348</v>
          </cell>
          <cell r="C350" t="str">
            <v>Actual</v>
          </cell>
          <cell r="E350">
            <v>0</v>
          </cell>
          <cell r="F350">
            <v>0</v>
          </cell>
          <cell r="G350">
            <v>45</v>
          </cell>
          <cell r="H350">
            <v>0</v>
          </cell>
          <cell r="I350">
            <v>0</v>
          </cell>
          <cell r="J350">
            <v>55</v>
          </cell>
          <cell r="K350">
            <v>0</v>
          </cell>
          <cell r="L350">
            <v>0</v>
          </cell>
          <cell r="M350">
            <v>0</v>
          </cell>
          <cell r="N350">
            <v>0</v>
          </cell>
          <cell r="O350">
            <v>0</v>
          </cell>
          <cell r="P350">
            <v>0</v>
          </cell>
        </row>
        <row r="351">
          <cell r="A351">
            <v>349</v>
          </cell>
          <cell r="C351" t="str">
            <v>YTD Actual</v>
          </cell>
          <cell r="E351">
            <v>0</v>
          </cell>
          <cell r="F351">
            <v>0</v>
          </cell>
          <cell r="G351">
            <v>45</v>
          </cell>
          <cell r="H351">
            <v>45</v>
          </cell>
          <cell r="I351">
            <v>45</v>
          </cell>
          <cell r="J351">
            <v>100</v>
          </cell>
          <cell r="K351">
            <v>100</v>
          </cell>
          <cell r="L351">
            <v>100</v>
          </cell>
          <cell r="M351">
            <v>100</v>
          </cell>
          <cell r="N351">
            <v>100</v>
          </cell>
          <cell r="O351">
            <v>100</v>
          </cell>
          <cell r="P351">
            <v>100</v>
          </cell>
        </row>
        <row r="352">
          <cell r="A352">
            <v>350</v>
          </cell>
          <cell r="C352" t="str">
            <v>YTD 3-9 LE</v>
          </cell>
          <cell r="E352">
            <v>0</v>
          </cell>
          <cell r="F352">
            <v>0</v>
          </cell>
          <cell r="G352">
            <v>45</v>
          </cell>
          <cell r="H352">
            <v>45</v>
          </cell>
          <cell r="I352">
            <v>45</v>
          </cell>
          <cell r="J352">
            <v>90</v>
          </cell>
          <cell r="K352">
            <v>90</v>
          </cell>
          <cell r="L352">
            <v>90</v>
          </cell>
          <cell r="M352">
            <v>135</v>
          </cell>
          <cell r="N352">
            <v>135</v>
          </cell>
          <cell r="O352">
            <v>135</v>
          </cell>
          <cell r="P352">
            <v>180</v>
          </cell>
        </row>
        <row r="353">
          <cell r="A353">
            <v>351</v>
          </cell>
          <cell r="C353" t="str">
            <v>YTD 6-6 LE</v>
          </cell>
          <cell r="E353">
            <v>0</v>
          </cell>
          <cell r="F353">
            <v>0</v>
          </cell>
          <cell r="G353">
            <v>55</v>
          </cell>
          <cell r="H353">
            <v>55</v>
          </cell>
          <cell r="I353">
            <v>55</v>
          </cell>
          <cell r="J353">
            <v>110</v>
          </cell>
          <cell r="K353">
            <v>110</v>
          </cell>
          <cell r="L353">
            <v>110</v>
          </cell>
          <cell r="M353">
            <v>165</v>
          </cell>
          <cell r="N353">
            <v>165</v>
          </cell>
          <cell r="O353">
            <v>165</v>
          </cell>
          <cell r="P353">
            <v>220</v>
          </cell>
        </row>
        <row r="354">
          <cell r="A354">
            <v>352</v>
          </cell>
          <cell r="C354" t="str">
            <v>YTD 7-5 LE</v>
          </cell>
          <cell r="E354">
            <v>0</v>
          </cell>
          <cell r="F354">
            <v>0</v>
          </cell>
          <cell r="G354">
            <v>0</v>
          </cell>
          <cell r="H354">
            <v>0</v>
          </cell>
          <cell r="I354">
            <v>0</v>
          </cell>
          <cell r="J354">
            <v>0</v>
          </cell>
          <cell r="K354">
            <v>0</v>
          </cell>
          <cell r="L354">
            <v>0</v>
          </cell>
          <cell r="M354">
            <v>0</v>
          </cell>
          <cell r="N354">
            <v>0</v>
          </cell>
          <cell r="O354">
            <v>0</v>
          </cell>
          <cell r="P354">
            <v>0</v>
          </cell>
        </row>
        <row r="355">
          <cell r="A355">
            <v>353</v>
          </cell>
        </row>
        <row r="356">
          <cell r="A356">
            <v>354</v>
          </cell>
          <cell r="B356" t="str">
            <v>Debt Principle Payments</v>
          </cell>
        </row>
        <row r="357">
          <cell r="A357">
            <v>355</v>
          </cell>
          <cell r="C357" t="str">
            <v>Actual</v>
          </cell>
          <cell r="E357">
            <v>0</v>
          </cell>
          <cell r="F357">
            <v>0</v>
          </cell>
          <cell r="G357">
            <v>130</v>
          </cell>
          <cell r="H357">
            <v>0</v>
          </cell>
          <cell r="I357">
            <v>0</v>
          </cell>
          <cell r="J357">
            <v>0</v>
          </cell>
          <cell r="K357">
            <v>0</v>
          </cell>
          <cell r="L357">
            <v>0</v>
          </cell>
          <cell r="M357">
            <v>112</v>
          </cell>
          <cell r="N357">
            <v>0</v>
          </cell>
          <cell r="O357">
            <v>0</v>
          </cell>
          <cell r="P357">
            <v>0</v>
          </cell>
        </row>
        <row r="358">
          <cell r="A358">
            <v>356</v>
          </cell>
          <cell r="C358" t="str">
            <v>YTD Actual</v>
          </cell>
          <cell r="E358">
            <v>0</v>
          </cell>
          <cell r="F358">
            <v>0</v>
          </cell>
          <cell r="G358">
            <v>130</v>
          </cell>
          <cell r="H358">
            <v>130</v>
          </cell>
          <cell r="I358">
            <v>130</v>
          </cell>
          <cell r="J358">
            <v>130</v>
          </cell>
          <cell r="K358">
            <v>130</v>
          </cell>
          <cell r="L358">
            <v>130</v>
          </cell>
          <cell r="M358">
            <v>242</v>
          </cell>
          <cell r="N358">
            <v>242</v>
          </cell>
          <cell r="O358">
            <v>242</v>
          </cell>
          <cell r="P358">
            <v>242</v>
          </cell>
        </row>
        <row r="359">
          <cell r="A359">
            <v>357</v>
          </cell>
          <cell r="C359" t="str">
            <v>YTD 3-9 LE</v>
          </cell>
          <cell r="E359">
            <v>0</v>
          </cell>
          <cell r="F359">
            <v>0</v>
          </cell>
          <cell r="G359">
            <v>130</v>
          </cell>
          <cell r="H359">
            <v>130</v>
          </cell>
          <cell r="I359">
            <v>130</v>
          </cell>
          <cell r="J359">
            <v>130</v>
          </cell>
          <cell r="K359">
            <v>130</v>
          </cell>
          <cell r="L359">
            <v>130</v>
          </cell>
          <cell r="M359">
            <v>242</v>
          </cell>
          <cell r="N359">
            <v>242</v>
          </cell>
          <cell r="O359">
            <v>242</v>
          </cell>
          <cell r="P359">
            <v>242</v>
          </cell>
        </row>
        <row r="360">
          <cell r="A360">
            <v>358</v>
          </cell>
          <cell r="C360" t="str">
            <v>YTD 6-6 LE</v>
          </cell>
          <cell r="E360">
            <v>0</v>
          </cell>
          <cell r="F360">
            <v>0</v>
          </cell>
          <cell r="G360">
            <v>130</v>
          </cell>
          <cell r="H360">
            <v>130</v>
          </cell>
          <cell r="I360">
            <v>130</v>
          </cell>
          <cell r="J360">
            <v>130</v>
          </cell>
          <cell r="K360">
            <v>130</v>
          </cell>
          <cell r="L360">
            <v>130</v>
          </cell>
          <cell r="M360">
            <v>242</v>
          </cell>
          <cell r="N360">
            <v>242</v>
          </cell>
          <cell r="O360">
            <v>242</v>
          </cell>
          <cell r="P360">
            <v>242</v>
          </cell>
        </row>
        <row r="361">
          <cell r="A361">
            <v>359</v>
          </cell>
          <cell r="C361" t="str">
            <v>YTD 7-5 LE</v>
          </cell>
          <cell r="E361">
            <v>0</v>
          </cell>
          <cell r="F361">
            <v>0</v>
          </cell>
          <cell r="G361">
            <v>130</v>
          </cell>
          <cell r="H361">
            <v>130</v>
          </cell>
          <cell r="I361">
            <v>130</v>
          </cell>
          <cell r="J361">
            <v>130</v>
          </cell>
          <cell r="K361">
            <v>130</v>
          </cell>
          <cell r="L361">
            <v>130</v>
          </cell>
          <cell r="M361">
            <v>242</v>
          </cell>
          <cell r="N361">
            <v>242</v>
          </cell>
          <cell r="O361">
            <v>242</v>
          </cell>
          <cell r="P361">
            <v>242</v>
          </cell>
        </row>
        <row r="362">
          <cell r="A362">
            <v>360</v>
          </cell>
          <cell r="C362" t="str">
            <v>Budget</v>
          </cell>
          <cell r="E362">
            <v>0</v>
          </cell>
          <cell r="F362">
            <v>0</v>
          </cell>
          <cell r="G362">
            <v>130</v>
          </cell>
          <cell r="H362">
            <v>130</v>
          </cell>
          <cell r="I362">
            <v>130</v>
          </cell>
          <cell r="J362">
            <v>130</v>
          </cell>
          <cell r="K362">
            <v>130</v>
          </cell>
          <cell r="L362">
            <v>130</v>
          </cell>
          <cell r="M362">
            <v>242</v>
          </cell>
          <cell r="N362">
            <v>242</v>
          </cell>
          <cell r="O362">
            <v>242</v>
          </cell>
          <cell r="P362">
            <v>242</v>
          </cell>
        </row>
        <row r="363">
          <cell r="A363">
            <v>361</v>
          </cell>
        </row>
        <row r="364">
          <cell r="A364">
            <v>362</v>
          </cell>
          <cell r="B364" t="str">
            <v>Headcount</v>
          </cell>
        </row>
        <row r="365">
          <cell r="A365">
            <v>363</v>
          </cell>
          <cell r="C365" t="str">
            <v>Actual</v>
          </cell>
          <cell r="E365">
            <v>19.166666666666668</v>
          </cell>
          <cell r="F365">
            <v>19.166666666666668</v>
          </cell>
          <cell r="G365">
            <v>19.166666666666668</v>
          </cell>
          <cell r="H365">
            <v>19.166666666666668</v>
          </cell>
          <cell r="I365">
            <v>19.166666666666668</v>
          </cell>
          <cell r="J365">
            <v>19.166666666666668</v>
          </cell>
          <cell r="K365">
            <v>0</v>
          </cell>
          <cell r="L365">
            <v>0</v>
          </cell>
          <cell r="M365">
            <v>0</v>
          </cell>
          <cell r="N365">
            <v>0</v>
          </cell>
          <cell r="O365">
            <v>0</v>
          </cell>
          <cell r="P365">
            <v>0</v>
          </cell>
        </row>
        <row r="366">
          <cell r="A366">
            <v>364</v>
          </cell>
          <cell r="C366" t="str">
            <v>Budget</v>
          </cell>
          <cell r="E366">
            <v>0</v>
          </cell>
          <cell r="F366">
            <v>0</v>
          </cell>
          <cell r="G366">
            <v>0</v>
          </cell>
          <cell r="H366">
            <v>0</v>
          </cell>
          <cell r="I366">
            <v>0</v>
          </cell>
          <cell r="J366">
            <v>0</v>
          </cell>
          <cell r="K366">
            <v>0</v>
          </cell>
          <cell r="L366">
            <v>0</v>
          </cell>
          <cell r="M366">
            <v>0</v>
          </cell>
          <cell r="N366">
            <v>0</v>
          </cell>
          <cell r="O366">
            <v>0</v>
          </cell>
          <cell r="P366">
            <v>0</v>
          </cell>
        </row>
        <row r="367">
          <cell r="A367">
            <v>365</v>
          </cell>
          <cell r="C367" t="str">
            <v>3-9 LE</v>
          </cell>
          <cell r="E367">
            <v>3600</v>
          </cell>
          <cell r="F367">
            <v>3600</v>
          </cell>
          <cell r="G367">
            <v>3600</v>
          </cell>
          <cell r="H367">
            <v>3600</v>
          </cell>
          <cell r="I367">
            <v>3600</v>
          </cell>
          <cell r="J367">
            <v>3600</v>
          </cell>
          <cell r="K367">
            <v>3600</v>
          </cell>
          <cell r="L367">
            <v>3600</v>
          </cell>
          <cell r="M367">
            <v>3600</v>
          </cell>
          <cell r="N367">
            <v>3600</v>
          </cell>
          <cell r="O367">
            <v>3600</v>
          </cell>
          <cell r="P367">
            <v>3600</v>
          </cell>
        </row>
        <row r="368">
          <cell r="A368">
            <v>366</v>
          </cell>
          <cell r="C368" t="str">
            <v>6-6 LE</v>
          </cell>
          <cell r="E368">
            <v>3600</v>
          </cell>
          <cell r="F368">
            <v>3600</v>
          </cell>
          <cell r="G368">
            <v>3600</v>
          </cell>
          <cell r="H368">
            <v>3600</v>
          </cell>
          <cell r="I368">
            <v>3600</v>
          </cell>
          <cell r="J368">
            <v>3600</v>
          </cell>
          <cell r="K368">
            <v>3600</v>
          </cell>
          <cell r="L368">
            <v>3600</v>
          </cell>
          <cell r="M368">
            <v>3600</v>
          </cell>
          <cell r="N368">
            <v>3600</v>
          </cell>
          <cell r="O368">
            <v>3600</v>
          </cell>
          <cell r="P368">
            <v>3600</v>
          </cell>
        </row>
        <row r="369">
          <cell r="A369">
            <v>367</v>
          </cell>
          <cell r="C369" t="str">
            <v>7-5 LE</v>
          </cell>
          <cell r="E369">
            <v>0</v>
          </cell>
          <cell r="F369">
            <v>0</v>
          </cell>
          <cell r="G369">
            <v>0</v>
          </cell>
          <cell r="H369">
            <v>0</v>
          </cell>
          <cell r="I369">
            <v>0</v>
          </cell>
          <cell r="J369">
            <v>0</v>
          </cell>
          <cell r="K369">
            <v>0</v>
          </cell>
          <cell r="L369">
            <v>0</v>
          </cell>
          <cell r="M369">
            <v>0</v>
          </cell>
          <cell r="N369">
            <v>0</v>
          </cell>
          <cell r="O369">
            <v>0</v>
          </cell>
          <cell r="P369">
            <v>0</v>
          </cell>
        </row>
        <row r="370">
          <cell r="A370">
            <v>368</v>
          </cell>
        </row>
        <row r="371">
          <cell r="A371">
            <v>369</v>
          </cell>
          <cell r="B371" t="str">
            <v>Sales and Delivery Variances</v>
          </cell>
        </row>
        <row r="372">
          <cell r="A372">
            <v>370</v>
          </cell>
          <cell r="C372" t="str">
            <v>YTD Actual</v>
          </cell>
        </row>
        <row r="373">
          <cell r="A373">
            <v>371</v>
          </cell>
          <cell r="C373" t="str">
            <v>Energy</v>
          </cell>
          <cell r="E373">
            <v>181.95425596000001</v>
          </cell>
          <cell r="F373">
            <v>7.1248404399999856</v>
          </cell>
          <cell r="G373">
            <v>11.27360792999994</v>
          </cell>
          <cell r="H373">
            <v>13.956082739999999</v>
          </cell>
          <cell r="I373">
            <v>15.469881579999935</v>
          </cell>
          <cell r="J373">
            <v>24.11121186999992</v>
          </cell>
          <cell r="K373">
            <v>31.165743389999989</v>
          </cell>
          <cell r="L373">
            <v>0</v>
          </cell>
          <cell r="M373">
            <v>0</v>
          </cell>
          <cell r="N373">
            <v>0</v>
          </cell>
          <cell r="O373">
            <v>0</v>
          </cell>
          <cell r="P373">
            <v>0</v>
          </cell>
        </row>
        <row r="374">
          <cell r="A374">
            <v>372</v>
          </cell>
          <cell r="C374" t="str">
            <v>Delivery</v>
          </cell>
          <cell r="E374">
            <v>-15.404312850000025</v>
          </cell>
          <cell r="F374">
            <v>297.72925831999999</v>
          </cell>
          <cell r="G374">
            <v>453.37859526999995</v>
          </cell>
          <cell r="H374">
            <v>589.98147578999999</v>
          </cell>
          <cell r="I374">
            <v>729.88722329000007</v>
          </cell>
          <cell r="J374">
            <v>910.46640848999994</v>
          </cell>
          <cell r="K374">
            <v>1092.7693092499999</v>
          </cell>
          <cell r="L374">
            <v>0</v>
          </cell>
          <cell r="M374">
            <v>0</v>
          </cell>
          <cell r="N374">
            <v>0</v>
          </cell>
          <cell r="O374">
            <v>0</v>
          </cell>
          <cell r="P374">
            <v>0</v>
          </cell>
        </row>
        <row r="375">
          <cell r="A375">
            <v>373</v>
          </cell>
          <cell r="C375" t="str">
            <v>Gas</v>
          </cell>
          <cell r="E375">
            <v>32.419187210000018</v>
          </cell>
          <cell r="F375">
            <v>60.914763430000022</v>
          </cell>
          <cell r="G375">
            <v>89.968092679999984</v>
          </cell>
          <cell r="H375">
            <v>104.14024187999999</v>
          </cell>
          <cell r="I375">
            <v>114.83977269000002</v>
          </cell>
          <cell r="J375">
            <v>123.70187869</v>
          </cell>
          <cell r="K375">
            <v>130.24113655999997</v>
          </cell>
          <cell r="L375">
            <v>0</v>
          </cell>
          <cell r="M375">
            <v>0</v>
          </cell>
          <cell r="N375">
            <v>0</v>
          </cell>
          <cell r="O375">
            <v>0</v>
          </cell>
          <cell r="P375">
            <v>0</v>
          </cell>
        </row>
        <row r="376">
          <cell r="A376">
            <v>374</v>
          </cell>
        </row>
        <row r="377">
          <cell r="A377">
            <v>375</v>
          </cell>
          <cell r="C377" t="str">
            <v>Budget</v>
          </cell>
        </row>
        <row r="378">
          <cell r="A378">
            <v>376</v>
          </cell>
          <cell r="C378" t="str">
            <v>Energy</v>
          </cell>
          <cell r="E378">
            <v>3.2600000000000051</v>
          </cell>
          <cell r="F378">
            <v>5.6779999999999973</v>
          </cell>
          <cell r="G378">
            <v>7.4500000000000028</v>
          </cell>
          <cell r="H378">
            <v>8.3030000000000044</v>
          </cell>
          <cell r="I378">
            <v>9.6090000000000089</v>
          </cell>
          <cell r="J378">
            <v>13.265000000000015</v>
          </cell>
          <cell r="K378">
            <v>19.302000000000021</v>
          </cell>
          <cell r="L378">
            <v>24.506000000000014</v>
          </cell>
          <cell r="M378">
            <v>27.50500000000001</v>
          </cell>
          <cell r="N378">
            <v>28.609000000000009</v>
          </cell>
          <cell r="O378">
            <v>30.260000000000019</v>
          </cell>
          <cell r="P378">
            <v>32.936000000000021</v>
          </cell>
        </row>
        <row r="379">
          <cell r="A379">
            <v>377</v>
          </cell>
          <cell r="C379" t="str">
            <v>Delivery</v>
          </cell>
          <cell r="E379">
            <v>159.50300000000001</v>
          </cell>
          <cell r="F379">
            <v>303.16399999999999</v>
          </cell>
          <cell r="G379">
            <v>446.649</v>
          </cell>
          <cell r="H379">
            <v>578.02300000000002</v>
          </cell>
          <cell r="I379">
            <v>714.42499999999995</v>
          </cell>
          <cell r="J379">
            <v>873.59399999999994</v>
          </cell>
          <cell r="K379">
            <v>1062.931</v>
          </cell>
          <cell r="L379">
            <v>1246.559</v>
          </cell>
          <cell r="M379">
            <v>1402.1030000000001</v>
          </cell>
          <cell r="N379">
            <v>1536.7910000000002</v>
          </cell>
          <cell r="O379">
            <v>1676.4690000000003</v>
          </cell>
          <cell r="P379">
            <v>1829.6750000000002</v>
          </cell>
        </row>
        <row r="380">
          <cell r="A380">
            <v>378</v>
          </cell>
          <cell r="C380" t="str">
            <v>Gas</v>
          </cell>
          <cell r="E380">
            <v>36.372</v>
          </cell>
          <cell r="F380">
            <v>71.082999999999998</v>
          </cell>
          <cell r="G380">
            <v>101.82</v>
          </cell>
          <cell r="H380">
            <v>124.32199999999999</v>
          </cell>
          <cell r="I380">
            <v>138.667</v>
          </cell>
          <cell r="J380">
            <v>149.01500000000001</v>
          </cell>
          <cell r="K380">
            <v>158.161</v>
          </cell>
          <cell r="L380">
            <v>167.167</v>
          </cell>
          <cell r="M380">
            <v>176.797</v>
          </cell>
          <cell r="N380">
            <v>188.833</v>
          </cell>
          <cell r="O380">
            <v>208.11599999999999</v>
          </cell>
          <cell r="P380">
            <v>235.09199999999998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O M"/>
      <sheetName val="BUD O M"/>
      <sheetName val="ACT CAP"/>
      <sheetName val="BUD CAP"/>
      <sheetName val="Calculations"/>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
      <sheetName val="East"/>
      <sheetName val="Exhibit - No Fossil"/>
      <sheetName val="Exhibit"/>
      <sheetName val="Ratio Summary"/>
      <sheetName val="SAS Results"/>
      <sheetName val="SAP Results"/>
      <sheetName val="CBPP Summary"/>
      <sheetName val="SMRP Results"/>
      <sheetName val="SPBP Results"/>
      <sheetName val="BU Translation"/>
      <sheetName val="Control"/>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Budget System Users"/>
      <sheetName val="Sheet5"/>
      <sheetName val="Sheet2"/>
      <sheetName val="Data List"/>
      <sheetName val="CCTR_Data"/>
      <sheetName val="Data_Tbl"/>
      <sheetName val="Sheet4"/>
      <sheetName val="Walt_CCTR_Detail"/>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eclarations"/>
      <sheetName val="Report Specific Functions"/>
      <sheetName val="Report Template Module"/>
      <sheetName val="REPORT1"/>
      <sheetName val="REPORT1.xlr"/>
    </sheetNames>
    <definedNames>
      <definedName name="Choose_Prefs"/>
      <definedName name="Refresh_Repo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of Controls"/>
      <sheetName val="Doc &amp; Chg Control Tab Sample 1"/>
      <sheetName val="Doc &amp; Chg Control Tab Sample 2"/>
      <sheetName val="Inventory Request- UPDATED"/>
      <sheetName val="Inventory Request- OLD"/>
      <sheetName val="Categories &amp; Complexity"/>
      <sheetName val="lists"/>
      <sheetName val="Assumptions - In"/>
      <sheetName val="Spreadsheet Inventory Templa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VG"/>
      <sheetName val="Allocation Factors"/>
      <sheetName val="Rate Base COS"/>
      <sheetName val="Earnings COS "/>
      <sheetName val="Tax Calc - unbundled"/>
      <sheetName val="TAX CALC"/>
      <sheetName val="Tax Data - colored for COS"/>
      <sheetName val="Plt in service"/>
      <sheetName val="Deprec reserve"/>
      <sheetName val="CWIP"/>
      <sheetName val="PHFFU"/>
      <sheetName val="M&amp;S"/>
      <sheetName val="Prepaid Pension"/>
      <sheetName val="Prepaid Insurance"/>
      <sheetName val="ITC Balances"/>
      <sheetName val="Cust Advan+Deposits"/>
      <sheetName val="Earnings"/>
      <sheetName val="Sales &amp; Revenue"/>
      <sheetName val="Other Revenue"/>
      <sheetName val="O&amp;M"/>
      <sheetName val="Depreciation"/>
      <sheetName val="Other Taxes"/>
      <sheetName val="ITC"/>
      <sheetName val="IOCD"/>
      <sheetName val="AFU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Impact Schedule"/>
      <sheetName val="Impact Schedule_Old"/>
      <sheetName val="Reserve Variance"/>
      <sheetName val="Depr_Lot"/>
      <sheetName val="Control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Year Credit Facility (2)"/>
      <sheetName val="One Year Credit Facility"/>
      <sheetName val="One Year Credit Facility (2 (3)"/>
      <sheetName val="Three Year Credit Facility"/>
      <sheetName val="FIVE Year Credit Facility"/>
      <sheetName val="Credit Facility.2005"/>
      <sheetName val="Credit Facility.2004"/>
      <sheetName val="Formulas"/>
      <sheetName val="Spreadsheet Changes"/>
      <sheetName val="Credit Facility"/>
      <sheetName val="One Year Credit Facility05"/>
    </sheetNames>
    <sheetDataSet>
      <sheetData sheetId="0" refreshError="1"/>
      <sheetData sheetId="1" refreshError="1">
        <row r="23">
          <cell r="A23">
            <v>37955</v>
          </cell>
          <cell r="B23">
            <v>52239.015521978028</v>
          </cell>
          <cell r="C23">
            <v>561148.134478022</v>
          </cell>
          <cell r="D23">
            <v>52239.015521978028</v>
          </cell>
        </row>
        <row r="24">
          <cell r="A24">
            <v>37986</v>
          </cell>
          <cell r="B24">
            <v>52239.015521978028</v>
          </cell>
          <cell r="C24">
            <v>508909.11895604397</v>
          </cell>
          <cell r="D24">
            <v>104478.03104395606</v>
          </cell>
        </row>
        <row r="25">
          <cell r="A25">
            <v>38017</v>
          </cell>
          <cell r="B25">
            <v>52239.015521978028</v>
          </cell>
          <cell r="C25">
            <v>456670.10343406594</v>
          </cell>
          <cell r="D25">
            <v>52239.015521978028</v>
          </cell>
        </row>
        <row r="26">
          <cell r="A26">
            <v>38046</v>
          </cell>
          <cell r="B26">
            <v>48868.756456043964</v>
          </cell>
          <cell r="C26">
            <v>407801.34697802196</v>
          </cell>
          <cell r="D26">
            <v>101107.77197802199</v>
          </cell>
        </row>
        <row r="27">
          <cell r="A27">
            <v>38077</v>
          </cell>
          <cell r="B27">
            <v>52239.015521978028</v>
          </cell>
          <cell r="C27">
            <v>355562.33145604393</v>
          </cell>
          <cell r="D27">
            <v>153346.78750000003</v>
          </cell>
        </row>
        <row r="28">
          <cell r="A28">
            <v>38107</v>
          </cell>
          <cell r="B28">
            <v>50553.885989010996</v>
          </cell>
          <cell r="C28">
            <v>305008.44546703296</v>
          </cell>
          <cell r="D28">
            <v>203900.67348901104</v>
          </cell>
        </row>
        <row r="29">
          <cell r="A29">
            <v>38138</v>
          </cell>
          <cell r="B29">
            <v>52239.015521978028</v>
          </cell>
          <cell r="C29">
            <v>252769.42994505493</v>
          </cell>
          <cell r="D29">
            <v>256139.68901098907</v>
          </cell>
        </row>
        <row r="30">
          <cell r="A30">
            <v>38168</v>
          </cell>
          <cell r="B30">
            <v>50553.885989010996</v>
          </cell>
          <cell r="C30">
            <v>202215.54395604393</v>
          </cell>
          <cell r="D30">
            <v>306693.57500000007</v>
          </cell>
        </row>
        <row r="31">
          <cell r="A31" t="str">
            <v>Adjustment</v>
          </cell>
          <cell r="B31">
            <v>186715.54395604393</v>
          </cell>
          <cell r="C31">
            <v>15500</v>
          </cell>
          <cell r="D31">
            <v>493409.11895604397</v>
          </cell>
        </row>
        <row r="32">
          <cell r="A32">
            <v>38199</v>
          </cell>
          <cell r="B32">
            <v>3875</v>
          </cell>
          <cell r="C32">
            <v>198340.54395604393</v>
          </cell>
          <cell r="D32">
            <v>497284.11895604397</v>
          </cell>
        </row>
        <row r="33">
          <cell r="A33">
            <v>38230</v>
          </cell>
          <cell r="B33">
            <v>3875</v>
          </cell>
          <cell r="C33">
            <v>194465.54395604393</v>
          </cell>
          <cell r="D33">
            <v>501159.11895604397</v>
          </cell>
        </row>
        <row r="34">
          <cell r="A34">
            <v>38260</v>
          </cell>
          <cell r="B34">
            <v>3875</v>
          </cell>
          <cell r="C34">
            <v>190590.54395604393</v>
          </cell>
          <cell r="D34">
            <v>505034.11895604397</v>
          </cell>
        </row>
      </sheetData>
      <sheetData sheetId="2" refreshError="1">
        <row r="23">
          <cell r="A23">
            <v>38321</v>
          </cell>
          <cell r="B23">
            <v>6280.8870054945055</v>
          </cell>
          <cell r="C23">
            <v>67468.882994505504</v>
          </cell>
          <cell r="D23">
            <v>6280.8870054945055</v>
          </cell>
        </row>
        <row r="24">
          <cell r="A24">
            <v>38352</v>
          </cell>
          <cell r="B24">
            <v>6280.8870054945055</v>
          </cell>
          <cell r="C24">
            <v>61187.995989010997</v>
          </cell>
          <cell r="D24">
            <v>12561.774010989011</v>
          </cell>
        </row>
        <row r="25">
          <cell r="A25">
            <v>38383</v>
          </cell>
          <cell r="B25">
            <v>6280.8870054945055</v>
          </cell>
          <cell r="C25">
            <v>54907.108983516489</v>
          </cell>
          <cell r="D25">
            <v>6280.8870054945055</v>
          </cell>
        </row>
        <row r="26">
          <cell r="A26">
            <v>38411</v>
          </cell>
          <cell r="B26">
            <v>5875.6684890109891</v>
          </cell>
          <cell r="C26">
            <v>49031.440494505499</v>
          </cell>
          <cell r="D26">
            <v>12156.555494505494</v>
          </cell>
        </row>
        <row r="27">
          <cell r="A27">
            <v>38442</v>
          </cell>
          <cell r="B27">
            <v>6280.8870054945055</v>
          </cell>
          <cell r="C27">
            <v>42750.553489010992</v>
          </cell>
          <cell r="D27">
            <v>18437.442499999997</v>
          </cell>
        </row>
        <row r="28">
          <cell r="A28">
            <v>38472</v>
          </cell>
          <cell r="B28">
            <v>6078.2777472527478</v>
          </cell>
          <cell r="C28">
            <v>36672.275741758247</v>
          </cell>
          <cell r="D28">
            <v>24515.720247252746</v>
          </cell>
        </row>
        <row r="29">
          <cell r="A29">
            <v>38503</v>
          </cell>
          <cell r="B29">
            <v>6280.8870054945055</v>
          </cell>
          <cell r="C29">
            <v>30391.38873626374</v>
          </cell>
          <cell r="D29">
            <v>30796.60725274725</v>
          </cell>
        </row>
        <row r="30">
          <cell r="A30">
            <v>38533</v>
          </cell>
          <cell r="B30">
            <v>6078.2777472527478</v>
          </cell>
          <cell r="C30">
            <v>202215.54395604393</v>
          </cell>
          <cell r="D30">
            <v>36874.884999999995</v>
          </cell>
        </row>
        <row r="31">
          <cell r="A31">
            <v>38564</v>
          </cell>
          <cell r="B31">
            <v>6078.2777472527478</v>
          </cell>
          <cell r="C31">
            <v>15500</v>
          </cell>
          <cell r="D31">
            <v>42953.16274725274</v>
          </cell>
        </row>
        <row r="32">
          <cell r="A32">
            <v>38595</v>
          </cell>
          <cell r="B32">
            <v>6078.2777472527478</v>
          </cell>
          <cell r="C32">
            <v>196137.26620879117</v>
          </cell>
          <cell r="D32">
            <v>49031.440494505485</v>
          </cell>
        </row>
        <row r="33">
          <cell r="A33">
            <v>38625</v>
          </cell>
          <cell r="B33">
            <v>6078.2777472527478</v>
          </cell>
          <cell r="C33">
            <v>190058.98846153842</v>
          </cell>
          <cell r="D33">
            <v>55109.71824175823</v>
          </cell>
        </row>
        <row r="34">
          <cell r="A34">
            <v>38656</v>
          </cell>
          <cell r="B34">
            <v>6078.2777472527478</v>
          </cell>
          <cell r="C34">
            <v>183980.71071428567</v>
          </cell>
          <cell r="D34">
            <v>61187.995989010975</v>
          </cell>
        </row>
      </sheetData>
      <sheetData sheetId="3" refreshError="1">
        <row r="22">
          <cell r="A22">
            <v>37955</v>
          </cell>
          <cell r="B22">
            <v>15746.865277777779</v>
          </cell>
          <cell r="C22">
            <v>551140.28472222225</v>
          </cell>
          <cell r="D22">
            <v>15746.865277777779</v>
          </cell>
        </row>
        <row r="23">
          <cell r="A23">
            <v>37986</v>
          </cell>
          <cell r="B23">
            <v>15746.865277777779</v>
          </cell>
          <cell r="C23">
            <v>535393.41944444447</v>
          </cell>
          <cell r="D23">
            <v>31493.730555555558</v>
          </cell>
        </row>
        <row r="24">
          <cell r="A24">
            <v>38017</v>
          </cell>
          <cell r="B24">
            <v>15746.865277777779</v>
          </cell>
          <cell r="C24">
            <v>519646.5541666667</v>
          </cell>
          <cell r="D24">
            <v>15746.865277777779</v>
          </cell>
        </row>
        <row r="25">
          <cell r="A25">
            <v>38046</v>
          </cell>
          <cell r="B25">
            <v>15746.865277777779</v>
          </cell>
          <cell r="C25">
            <v>503899.68888888892</v>
          </cell>
          <cell r="D25">
            <v>31493.730555555558</v>
          </cell>
        </row>
        <row r="26">
          <cell r="A26">
            <v>38077</v>
          </cell>
          <cell r="B26">
            <v>15746.865277777779</v>
          </cell>
          <cell r="C26">
            <v>488152.82361111115</v>
          </cell>
          <cell r="D26">
            <v>47240.59583333334</v>
          </cell>
        </row>
        <row r="27">
          <cell r="A27">
            <v>38107</v>
          </cell>
          <cell r="B27">
            <v>15746.865277777779</v>
          </cell>
          <cell r="C27">
            <v>472405.95833333337</v>
          </cell>
          <cell r="D27">
            <v>62987.461111111115</v>
          </cell>
        </row>
        <row r="28">
          <cell r="A28">
            <v>38138</v>
          </cell>
          <cell r="B28">
            <v>15746.865277777779</v>
          </cell>
          <cell r="C28">
            <v>456659.0930555556</v>
          </cell>
          <cell r="D28">
            <v>78734.326388888891</v>
          </cell>
        </row>
        <row r="29">
          <cell r="A29">
            <v>38168</v>
          </cell>
          <cell r="B29">
            <v>15746.865277777779</v>
          </cell>
          <cell r="C29">
            <v>440912.22777777782</v>
          </cell>
          <cell r="D29">
            <v>94481.191666666666</v>
          </cell>
        </row>
        <row r="30">
          <cell r="A30">
            <v>38199</v>
          </cell>
          <cell r="B30">
            <v>15746.865277777779</v>
          </cell>
          <cell r="C30">
            <v>425165.36250000005</v>
          </cell>
          <cell r="D30">
            <v>110228.05694444444</v>
          </cell>
        </row>
        <row r="31">
          <cell r="A31">
            <v>38230</v>
          </cell>
          <cell r="B31">
            <v>15746.865277777779</v>
          </cell>
          <cell r="C31">
            <v>409418.49722222227</v>
          </cell>
          <cell r="D31">
            <v>125974.92222222222</v>
          </cell>
        </row>
        <row r="32">
          <cell r="A32">
            <v>38260</v>
          </cell>
          <cell r="B32">
            <v>15746.865277777779</v>
          </cell>
          <cell r="C32">
            <v>393671.6319444445</v>
          </cell>
          <cell r="D32">
            <v>141721.78750000001</v>
          </cell>
        </row>
        <row r="33">
          <cell r="A33">
            <v>38291</v>
          </cell>
          <cell r="B33">
            <v>15746.865277777779</v>
          </cell>
          <cell r="C33">
            <v>377924.76666666672</v>
          </cell>
          <cell r="D33">
            <v>157468.65277777778</v>
          </cell>
        </row>
        <row r="34">
          <cell r="A34">
            <v>38321</v>
          </cell>
          <cell r="B34">
            <v>15746.865277777779</v>
          </cell>
          <cell r="C34">
            <v>362177.90138888895</v>
          </cell>
          <cell r="D34">
            <v>173215.51805555556</v>
          </cell>
        </row>
        <row r="35">
          <cell r="A35">
            <v>38352</v>
          </cell>
          <cell r="B35">
            <v>15746.865277777779</v>
          </cell>
          <cell r="C35">
            <v>346431.03611111117</v>
          </cell>
          <cell r="D35">
            <v>188962.38333333333</v>
          </cell>
        </row>
        <row r="36">
          <cell r="A36">
            <v>38383</v>
          </cell>
          <cell r="B36">
            <v>15746.865277777779</v>
          </cell>
          <cell r="C36">
            <v>330684.1708333334</v>
          </cell>
          <cell r="D36">
            <v>15746.865277777779</v>
          </cell>
        </row>
        <row r="37">
          <cell r="A37">
            <v>38411</v>
          </cell>
          <cell r="B37">
            <v>15746.865277777779</v>
          </cell>
          <cell r="C37">
            <v>314937.30555555562</v>
          </cell>
          <cell r="D37">
            <v>31493.730555555558</v>
          </cell>
        </row>
        <row r="38">
          <cell r="A38">
            <v>38442</v>
          </cell>
          <cell r="B38">
            <v>15746.865277777779</v>
          </cell>
          <cell r="C38">
            <v>299190.44027777785</v>
          </cell>
          <cell r="D38">
            <v>47240.59583333334</v>
          </cell>
        </row>
        <row r="39">
          <cell r="A39">
            <v>38472</v>
          </cell>
          <cell r="B39">
            <v>15746.865277777779</v>
          </cell>
          <cell r="C39">
            <v>283443.57500000007</v>
          </cell>
          <cell r="D39">
            <v>62987.461111111115</v>
          </cell>
        </row>
        <row r="40">
          <cell r="A40">
            <v>38503</v>
          </cell>
          <cell r="B40">
            <v>15746.865277777779</v>
          </cell>
          <cell r="C40">
            <v>267696.70972222229</v>
          </cell>
          <cell r="D40">
            <v>78734.326388888891</v>
          </cell>
        </row>
        <row r="41">
          <cell r="A41">
            <v>38533</v>
          </cell>
          <cell r="B41">
            <v>15746.865277777779</v>
          </cell>
          <cell r="C41">
            <v>251949.84444444452</v>
          </cell>
          <cell r="D41">
            <v>94481.191666666666</v>
          </cell>
        </row>
        <row r="42">
          <cell r="A42">
            <v>38564</v>
          </cell>
          <cell r="B42">
            <v>15746.865277777779</v>
          </cell>
          <cell r="C42">
            <v>236202.97916666674</v>
          </cell>
          <cell r="D42">
            <v>110228.05694444444</v>
          </cell>
        </row>
        <row r="43">
          <cell r="A43">
            <v>38595</v>
          </cell>
          <cell r="B43">
            <v>15746.865277777779</v>
          </cell>
          <cell r="C43">
            <v>220456.11388888897</v>
          </cell>
          <cell r="D43">
            <v>125974.92222222222</v>
          </cell>
        </row>
        <row r="44">
          <cell r="A44">
            <v>38625</v>
          </cell>
          <cell r="B44">
            <v>15746.865277777779</v>
          </cell>
          <cell r="C44">
            <v>204709.24861111119</v>
          </cell>
          <cell r="D44">
            <v>141721.78750000001</v>
          </cell>
        </row>
        <row r="45">
          <cell r="A45">
            <v>38656</v>
          </cell>
          <cell r="B45">
            <v>15746.865277777779</v>
          </cell>
          <cell r="C45">
            <v>188962.38333333342</v>
          </cell>
          <cell r="D45">
            <v>157468.65277777778</v>
          </cell>
        </row>
        <row r="46">
          <cell r="A46">
            <v>38686</v>
          </cell>
          <cell r="B46">
            <v>15746.865277777779</v>
          </cell>
          <cell r="C46">
            <v>173215.51805555564</v>
          </cell>
          <cell r="D46">
            <v>173215.51805555556</v>
          </cell>
        </row>
        <row r="47">
          <cell r="A47">
            <v>38717</v>
          </cell>
          <cell r="B47">
            <v>15746.865277777779</v>
          </cell>
          <cell r="C47">
            <v>157468.65277777787</v>
          </cell>
          <cell r="D47">
            <v>188962.38333333333</v>
          </cell>
        </row>
        <row r="48">
          <cell r="A48">
            <v>38748</v>
          </cell>
          <cell r="B48">
            <v>15746.865277777779</v>
          </cell>
          <cell r="C48">
            <v>141721.78750000009</v>
          </cell>
          <cell r="D48">
            <v>15746.865277777779</v>
          </cell>
        </row>
        <row r="49">
          <cell r="A49">
            <v>38776</v>
          </cell>
          <cell r="B49">
            <v>15746.865277777779</v>
          </cell>
          <cell r="C49">
            <v>125974.92222222232</v>
          </cell>
          <cell r="D49">
            <v>31493.730555555558</v>
          </cell>
        </row>
        <row r="50">
          <cell r="A50">
            <v>38807</v>
          </cell>
          <cell r="B50">
            <v>15746.865277777779</v>
          </cell>
          <cell r="C50">
            <v>110228.05694444454</v>
          </cell>
          <cell r="D50">
            <v>47240.59583333334</v>
          </cell>
        </row>
        <row r="51">
          <cell r="A51">
            <v>38837</v>
          </cell>
          <cell r="B51">
            <v>15746.865277777779</v>
          </cell>
          <cell r="C51">
            <v>94481.191666666768</v>
          </cell>
          <cell r="D51">
            <v>62987.461111111115</v>
          </cell>
        </row>
        <row r="52">
          <cell r="A52">
            <v>38868</v>
          </cell>
          <cell r="B52">
            <v>15746.865277777779</v>
          </cell>
          <cell r="C52">
            <v>78734.326388888992</v>
          </cell>
          <cell r="D52">
            <v>78734.326388888891</v>
          </cell>
        </row>
        <row r="53">
          <cell r="A53">
            <v>38898</v>
          </cell>
          <cell r="B53">
            <v>15746.865277777779</v>
          </cell>
          <cell r="C53">
            <v>62987.461111111217</v>
          </cell>
          <cell r="D53">
            <v>94481.191666666666</v>
          </cell>
        </row>
        <row r="54">
          <cell r="A54">
            <v>38929</v>
          </cell>
          <cell r="B54">
            <v>15746.865277777779</v>
          </cell>
          <cell r="C54">
            <v>47240.595833333442</v>
          </cell>
          <cell r="D54">
            <v>110228.05694444444</v>
          </cell>
        </row>
        <row r="55">
          <cell r="A55">
            <v>38960</v>
          </cell>
          <cell r="B55">
            <v>15746.865277777779</v>
          </cell>
          <cell r="C55">
            <v>31493.730555555663</v>
          </cell>
          <cell r="D55">
            <v>125974.92222222222</v>
          </cell>
        </row>
        <row r="56">
          <cell r="A56">
            <v>38990</v>
          </cell>
          <cell r="B56">
            <v>15746.865277777779</v>
          </cell>
          <cell r="C56">
            <v>15746.865277777884</v>
          </cell>
          <cell r="D56">
            <v>141721.78750000001</v>
          </cell>
        </row>
        <row r="57">
          <cell r="A57">
            <v>39021</v>
          </cell>
          <cell r="B57">
            <v>15746.865277777779</v>
          </cell>
          <cell r="C57">
            <v>1.0550138540565968E-10</v>
          </cell>
          <cell r="D57">
            <v>157468.65277777778</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Rank2"/>
      <sheetName val="Rank"/>
      <sheetName val="Data DGS"/>
      <sheetName val="DGS"/>
      <sheetName val="CS"/>
      <sheetName val="Data CS"/>
      <sheetName val="PctRev"/>
      <sheetName val="PP"/>
      <sheetName val="Cost"/>
      <sheetName val="Adm"/>
      <sheetName val="HdctBwAvg"/>
      <sheetName val="NR by Cluster"/>
      <sheetName val="Comp"/>
      <sheetName val="Data"/>
      <sheetName val="DataAdm"/>
      <sheetName val="RSF"/>
      <sheetName val="Adm Salary Leveling"/>
      <sheetName val="Tables"/>
      <sheetName val="One Year Credit Facility (2 (3)"/>
      <sheetName val="One Year Credit Facility"/>
      <sheetName val="Three Year Credit 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H4">
            <v>7</v>
          </cell>
        </row>
      </sheetData>
      <sheetData sheetId="19" refreshError="1"/>
      <sheetData sheetId="20" refreshError="1"/>
      <sheetData sheetId="2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P Funded Status Split PBO"/>
      <sheetName val="SPBP Funded Status Split PBO"/>
      <sheetName val="AMG Funded Status Split PBO"/>
      <sheetName val="ENE Funded Status Split PBO"/>
      <sheetName val="CBPPBU Funded Status Split PBO"/>
      <sheetName val="CBPP Funded Status Split PBO"/>
      <sheetName val="ECRP Funded Status Split PBO"/>
      <sheetName val="East-West Ratio Summary"/>
      <sheetName val="2007 BU FVA, TO, PSC Split"/>
      <sheetName val="2007 BU PBO, SC Split(PreEDSS)"/>
      <sheetName val="2007 BU PBO, SC Split(PostEDSS)"/>
      <sheetName val="BU Ratio Summary"/>
      <sheetName val="Summary of FAS 158 Entries"/>
      <sheetName val="Steps"/>
      <sheetName val="Plans Included"/>
      <sheetName val="change07 by plan"/>
      <sheetName val="nppc 07 by plan"/>
      <sheetName val="Extra Information"/>
      <sheetName val="Output1"/>
      <sheetName val="Output2"/>
      <sheetName val="Output3"/>
      <sheetName val="Output4"/>
      <sheetName val="Output5"/>
      <sheetName val="Output6"/>
      <sheetName val="Output7"/>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2008 Budget Option Model"/>
      <sheetName val="2008 Budget Option Model +$2shr"/>
      <sheetName val="2008 Budget Option Model (-$2)"/>
      <sheetName val="2008 Budget Option Model + 15%"/>
      <sheetName val="2008 Budget Option Model (-)15%"/>
      <sheetName val="FRMB MORT BOND 8% 4-01-0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insidenew (2)"/>
      <sheetName val="insidenew"/>
      <sheetName val="inside"/>
      <sheetName val="Oct-00"/>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Rates"/>
    </sheetNames>
    <sheetDataSet>
      <sheetData sheetId="0"/>
      <sheetData sheetId="1">
        <row r="1">
          <cell r="P1" t="str">
            <v>Process</v>
          </cell>
        </row>
        <row r="2">
          <cell r="P2" t="str">
            <v>Renewal</v>
          </cell>
        </row>
        <row r="3">
          <cell r="P3" t="str">
            <v>Innovate</v>
          </cell>
        </row>
        <row r="4">
          <cell r="P4" t="str">
            <v>Transform</v>
          </cell>
        </row>
      </sheetData>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Instructions"/>
      <sheetName val="Examples"/>
    </sheetNames>
    <sheetDataSet>
      <sheetData sheetId="0"/>
      <sheetData sheetId="1">
        <row r="1">
          <cell r="O1" t="str">
            <v>Clewett</v>
          </cell>
        </row>
        <row r="2">
          <cell r="O2" t="str">
            <v>Hill</v>
          </cell>
        </row>
        <row r="3">
          <cell r="O3" t="str">
            <v>Lasky</v>
          </cell>
        </row>
        <row r="4">
          <cell r="O4" t="str">
            <v>Peery</v>
          </cell>
        </row>
        <row r="5">
          <cell r="O5" t="str">
            <v>Walters</v>
          </cell>
        </row>
      </sheetData>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KWH SOLD"/>
      <sheetName val="PEPCO ONLY"/>
      <sheetName val="UNBILLED KWH"/>
      <sheetName val="FIT LJH"/>
      <sheetName val="summary"/>
      <sheetName val="proforma int"/>
      <sheetName val="fi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CCES"/>
      <sheetName val="PELHR"/>
      <sheetName val="Notes"/>
      <sheetName val="ACTUAL PJM BILLS"/>
      <sheetName val="Load Estimates"/>
      <sheetName val="PERESH Estimate"/>
      <sheetName val="PE Estimate"/>
      <sheetName val="PECCES Estimate"/>
    </sheetNames>
    <sheetDataSet>
      <sheetData sheetId="0" refreshError="1"/>
      <sheetData sheetId="1" refreshError="1"/>
      <sheetData sheetId="2"/>
      <sheetData sheetId="3"/>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NYPA"/>
      <sheetName val="PECCES"/>
      <sheetName val="PERD01"/>
      <sheetName val="PELHR"/>
      <sheetName val="Notes"/>
      <sheetName val="ACTUAL PJM BILLS"/>
      <sheetName val="Load Estimates"/>
      <sheetName val="PE Estimate"/>
      <sheetName val="PENYPA Estimate"/>
      <sheetName val="PERESH Estimate"/>
      <sheetName val="PECCES Estimate"/>
      <sheetName val="PERD01 Estim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
      <sheetName val="ACE LOBs"/>
      <sheetName val="ACE adj"/>
      <sheetName val="DPL"/>
      <sheetName val="DPL CPD"/>
      <sheetName val="DE PLR"/>
      <sheetName val="DPL SOS"/>
      <sheetName val="DPL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Impact Analysis"/>
      <sheetName val="Monthly Bill Data"/>
      <sheetName val="ListsOfValues"/>
      <sheetName val="DE PLR"/>
      <sheetName val="UNBILLED KWH"/>
      <sheetName val="Assumptions"/>
      <sheetName val="TBC Rate Summary"/>
      <sheetName val="JFJ-4 CEP Rate"/>
      <sheetName val="JFJ-1 Deferral Recovery Rate"/>
      <sheetName val="Restructuring Amort."/>
      <sheetName val="ACE 25 Year Sales Forecast"/>
      <sheetName val="Keystone Swap Amort Sch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ule1"/>
      <sheetName val="2nd qtr 2000"/>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 Ratings"/>
      <sheetName val="Incentives"/>
      <sheetName val="Goal Results"/>
      <sheetName val="Separations"/>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Others"/>
    </sheetNames>
    <sheetDataSet>
      <sheetData sheetId="0"/>
      <sheetData sheetId="1">
        <row r="1">
          <cell r="O1" t="str">
            <v>Clewett</v>
          </cell>
          <cell r="P1" t="str">
            <v>Process</v>
          </cell>
          <cell r="Q1" t="str">
            <v>in-Flight</v>
          </cell>
          <cell r="AE1" t="str">
            <v>Calabrese</v>
          </cell>
          <cell r="AF1" t="str">
            <v>Program</v>
          </cell>
        </row>
        <row r="2">
          <cell r="O2" t="str">
            <v>Hill</v>
          </cell>
          <cell r="P2" t="str">
            <v>Renewal</v>
          </cell>
          <cell r="Q2" t="str">
            <v>2005/Q1</v>
          </cell>
          <cell r="AE2" t="str">
            <v>Chang</v>
          </cell>
          <cell r="AF2" t="str">
            <v>Project</v>
          </cell>
        </row>
        <row r="3">
          <cell r="O3" t="str">
            <v>Lasky</v>
          </cell>
          <cell r="P3" t="str">
            <v>Innovate</v>
          </cell>
          <cell r="Q3" t="str">
            <v>2005/Q2</v>
          </cell>
          <cell r="AE3" t="str">
            <v>Clewett</v>
          </cell>
          <cell r="AF3" t="str">
            <v>Pgm/Prj</v>
          </cell>
        </row>
        <row r="4">
          <cell r="O4" t="str">
            <v>Peery</v>
          </cell>
          <cell r="P4" t="str">
            <v>Transform</v>
          </cell>
          <cell r="Q4" t="str">
            <v>2005/Q3</v>
          </cell>
          <cell r="AE4" t="str">
            <v>Doemland</v>
          </cell>
        </row>
        <row r="5">
          <cell r="O5" t="str">
            <v>Walters</v>
          </cell>
          <cell r="Q5" t="str">
            <v>2005/Q4</v>
          </cell>
          <cell r="AE5" t="str">
            <v>Farrington</v>
          </cell>
        </row>
        <row r="6">
          <cell r="Q6" t="str">
            <v>2006/Q1</v>
          </cell>
          <cell r="AE6" t="str">
            <v>Feeley</v>
          </cell>
        </row>
        <row r="7">
          <cell r="Q7" t="str">
            <v>2006/Q2</v>
          </cell>
          <cell r="AE7" t="str">
            <v>Gromos</v>
          </cell>
        </row>
        <row r="8">
          <cell r="Q8" t="str">
            <v>2006/Q3</v>
          </cell>
          <cell r="AE8" t="str">
            <v>Hanson</v>
          </cell>
        </row>
        <row r="9">
          <cell r="Q9" t="str">
            <v>2006/Q4</v>
          </cell>
          <cell r="AE9" t="str">
            <v>Horvatich</v>
          </cell>
        </row>
        <row r="10">
          <cell r="Q10">
            <v>2007</v>
          </cell>
          <cell r="AE10" t="str">
            <v>Hunt</v>
          </cell>
        </row>
        <row r="11">
          <cell r="Q11">
            <v>2008</v>
          </cell>
          <cell r="AE11" t="str">
            <v>Lasky</v>
          </cell>
        </row>
        <row r="12">
          <cell r="Q12">
            <v>2009</v>
          </cell>
          <cell r="AE12" t="str">
            <v>Lindsey</v>
          </cell>
        </row>
        <row r="13">
          <cell r="Q13">
            <v>2010</v>
          </cell>
          <cell r="AE13" t="str">
            <v>Martin</v>
          </cell>
        </row>
        <row r="14">
          <cell r="Q14">
            <v>2011</v>
          </cell>
          <cell r="AE14" t="str">
            <v>Meehan</v>
          </cell>
        </row>
        <row r="15">
          <cell r="Q15">
            <v>2012</v>
          </cell>
          <cell r="AE15" t="str">
            <v>Miller</v>
          </cell>
        </row>
        <row r="16">
          <cell r="Q16">
            <v>2013</v>
          </cell>
          <cell r="AE16" t="str">
            <v>Muehlbauer</v>
          </cell>
        </row>
        <row r="17">
          <cell r="Q17">
            <v>2014</v>
          </cell>
          <cell r="AE17" t="str">
            <v>Ortiz</v>
          </cell>
        </row>
        <row r="18">
          <cell r="AE18" t="str">
            <v>Poggensee</v>
          </cell>
        </row>
        <row r="19">
          <cell r="AE19" t="str">
            <v>Reyes</v>
          </cell>
        </row>
        <row r="20">
          <cell r="AE20" t="str">
            <v>Salmon</v>
          </cell>
        </row>
        <row r="21">
          <cell r="AE21" t="str">
            <v>Schneider</v>
          </cell>
        </row>
        <row r="22">
          <cell r="AE22" t="str">
            <v>Tate</v>
          </cell>
        </row>
        <row r="23">
          <cell r="AE23" t="str">
            <v>Terman</v>
          </cell>
        </row>
        <row r="24">
          <cell r="AE24" t="str">
            <v>Tryfonopoulos</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 val="NH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ECRP Assets"/>
      <sheetName val="CBPP Assets"/>
      <sheetName val="Amergen"/>
      <sheetName val="West"/>
      <sheetName val="East"/>
      <sheetName val="Ratio Summary"/>
      <sheetName val="FAS 87"/>
      <sheetName val="Inputs"/>
      <sheetName val="ECRP Alloc"/>
      <sheetName val="CBPP Alloc"/>
      <sheetName val="CBPPU Alloc"/>
      <sheetName val="ENE Alloc"/>
      <sheetName val="SPBP Alloc"/>
      <sheetName val="SMRP Alloc"/>
      <sheetName val="AMG Alloc"/>
      <sheetName val="Total Alloc"/>
      <sheetName val="Forecast Q-NQ"/>
      <sheetName val="NOTES"/>
      <sheetName val="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ComEd TOTI"/>
      <sheetName val="PECO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Financial Statements &gt;"/>
      <sheetName val="Functional Costs &gt;"/>
      <sheetName val="EED IS- Variances"/>
      <sheetName val="EED BS Var"/>
      <sheetName val="ComEd BS Var"/>
      <sheetName val="PECO BS Var"/>
      <sheetName val="EED CFS Var"/>
      <sheetName val="ComEd CFS Var"/>
      <sheetName val="PECO CFS Var"/>
      <sheetName val="C O&amp;M RR"/>
      <sheetName val="C Cap RR"/>
      <sheetName val="P O&amp;M RR"/>
      <sheetName val="P Cap RR"/>
      <sheetName val="Rev_Req"/>
      <sheetName val="FAS 87"/>
    </sheetNames>
    <sheetDataSet>
      <sheetData sheetId="0" refreshError="1">
        <row r="2">
          <cell r="B2" t="str">
            <v>April 2005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s 2-6"/>
      <sheetName val="ACE"/>
      <sheetName val="Table 7"/>
      <sheetName val="Table 8"/>
      <sheetName val="Table 9"/>
      <sheetName val="Ap A - Participant Def"/>
      <sheetName val="Ap B - Qtr Electric Master"/>
      <sheetName val=" Ap C - Qtr Electric LMI"/>
      <sheetName val=" Ap D - Qtr Electric Business"/>
      <sheetName val="Ap E - NJ CEA Benchmarks"/>
      <sheetName val="AP F - Secondary Metrics"/>
      <sheetName val="AP G - Transfer"/>
      <sheetName val="AP H - CostTest"/>
      <sheetName val="AP I - Program Chang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GROUP</v>
          </cell>
          <cell r="B1" t="str">
            <v>PROJECT GROUP NAME</v>
          </cell>
          <cell r="C1" t="str">
            <v>PRE-CBMS IRC 41 QREs</v>
          </cell>
          <cell r="D1" t="str">
            <v>CBMS CAPX QREs</v>
          </cell>
          <cell r="E1" t="str">
            <v>CBMS O&amp;M QREs</v>
          </cell>
          <cell r="F1" t="str">
            <v>prelim 300 AND 302</v>
          </cell>
          <cell r="G1" t="str">
            <v>IRC 41 QREs FROM 300 AND 302</v>
          </cell>
          <cell r="H1" t="str">
            <v>TOTAL QREs</v>
          </cell>
        </row>
        <row r="2">
          <cell r="A2">
            <v>0</v>
          </cell>
          <cell r="B2" t="str">
            <v>Improve Reliability of the Digital Rod Position Indication (DRPI) System</v>
          </cell>
          <cell r="C2">
            <v>0</v>
          </cell>
          <cell r="D2">
            <v>0</v>
          </cell>
          <cell r="E2">
            <v>0</v>
          </cell>
          <cell r="F2">
            <v>469225.70474999992</v>
          </cell>
          <cell r="G2">
            <v>469225.70474999992</v>
          </cell>
          <cell r="H2">
            <v>469225.70474999992</v>
          </cell>
        </row>
        <row r="3">
          <cell r="A3">
            <v>1</v>
          </cell>
          <cell r="B3" t="str">
            <v>Wastewater Treatment</v>
          </cell>
          <cell r="C3">
            <v>0</v>
          </cell>
          <cell r="D3">
            <v>0</v>
          </cell>
          <cell r="E3">
            <v>0</v>
          </cell>
          <cell r="F3">
            <v>0</v>
          </cell>
          <cell r="G3">
            <v>0</v>
          </cell>
          <cell r="H3">
            <v>0</v>
          </cell>
        </row>
        <row r="4">
          <cell r="A4">
            <v>2</v>
          </cell>
          <cell r="B4" t="str">
            <v>Rod Cluster Control Assembly</v>
          </cell>
          <cell r="C4">
            <v>0</v>
          </cell>
          <cell r="D4">
            <v>0</v>
          </cell>
          <cell r="E4">
            <v>0</v>
          </cell>
          <cell r="F4">
            <v>0</v>
          </cell>
          <cell r="G4">
            <v>0</v>
          </cell>
          <cell r="H4">
            <v>0</v>
          </cell>
        </row>
        <row r="5">
          <cell r="A5">
            <v>3</v>
          </cell>
          <cell r="B5" t="str">
            <v>Station Battery Capability Upgrade</v>
          </cell>
          <cell r="C5">
            <v>3360903.7711475077</v>
          </cell>
          <cell r="D5">
            <v>17890.14499999999</v>
          </cell>
          <cell r="E5">
            <v>463.30500000000001</v>
          </cell>
          <cell r="F5">
            <v>0</v>
          </cell>
          <cell r="G5">
            <v>0</v>
          </cell>
          <cell r="H5">
            <v>3379257.2211475079</v>
          </cell>
        </row>
        <row r="6">
          <cell r="A6">
            <v>4</v>
          </cell>
          <cell r="B6" t="str">
            <v>Chemical Treatment of Cooling Water</v>
          </cell>
          <cell r="C6">
            <v>834502.35657199821</v>
          </cell>
          <cell r="D6">
            <v>0</v>
          </cell>
          <cell r="E6">
            <v>0</v>
          </cell>
          <cell r="F6">
            <v>9677.2200525000007</v>
          </cell>
          <cell r="G6">
            <v>9677.2200525000007</v>
          </cell>
          <cell r="H6">
            <v>844179.57662449824</v>
          </cell>
        </row>
        <row r="7">
          <cell r="A7">
            <v>5</v>
          </cell>
          <cell r="B7" t="str">
            <v>Moisture Separator Reheater Upgrade</v>
          </cell>
          <cell r="C7">
            <v>475777.60129650001</v>
          </cell>
          <cell r="D7">
            <v>0</v>
          </cell>
          <cell r="E7">
            <v>0</v>
          </cell>
          <cell r="F7">
            <v>0</v>
          </cell>
          <cell r="G7">
            <v>0</v>
          </cell>
          <cell r="H7">
            <v>475777.60129650001</v>
          </cell>
        </row>
        <row r="8">
          <cell r="A8">
            <v>6</v>
          </cell>
          <cell r="B8" t="str">
            <v>Roof Improvements</v>
          </cell>
          <cell r="C8">
            <v>0</v>
          </cell>
          <cell r="D8">
            <v>0</v>
          </cell>
          <cell r="E8">
            <v>0</v>
          </cell>
          <cell r="F8">
            <v>0</v>
          </cell>
          <cell r="G8">
            <v>0</v>
          </cell>
          <cell r="H8">
            <v>0</v>
          </cell>
        </row>
        <row r="9">
          <cell r="A9">
            <v>7</v>
          </cell>
          <cell r="B9" t="str">
            <v>Reactor Cooling Pump Vibration Monitoring</v>
          </cell>
          <cell r="C9">
            <v>277472.73547499999</v>
          </cell>
          <cell r="D9">
            <v>178061.17750000031</v>
          </cell>
          <cell r="E9">
            <v>0</v>
          </cell>
          <cell r="F9">
            <v>0</v>
          </cell>
          <cell r="G9">
            <v>0</v>
          </cell>
          <cell r="H9">
            <v>455533.91297500033</v>
          </cell>
        </row>
        <row r="10">
          <cell r="A10">
            <v>8</v>
          </cell>
          <cell r="B10" t="str">
            <v>Main Condenser Bellows Improvements</v>
          </cell>
          <cell r="C10">
            <v>522.52200000000005</v>
          </cell>
          <cell r="D10">
            <v>0</v>
          </cell>
          <cell r="E10">
            <v>0</v>
          </cell>
          <cell r="F10">
            <v>0</v>
          </cell>
          <cell r="G10">
            <v>0</v>
          </cell>
          <cell r="H10">
            <v>522.52200000000005</v>
          </cell>
        </row>
        <row r="11">
          <cell r="A11">
            <v>9</v>
          </cell>
          <cell r="B11" t="str">
            <v>Improvements to Butterfly Valves</v>
          </cell>
          <cell r="C11">
            <v>170344.74020000003</v>
          </cell>
          <cell r="D11">
            <v>0</v>
          </cell>
          <cell r="E11">
            <v>0</v>
          </cell>
          <cell r="F11">
            <v>0</v>
          </cell>
          <cell r="G11">
            <v>0</v>
          </cell>
          <cell r="H11">
            <v>170344.74020000003</v>
          </cell>
        </row>
        <row r="12">
          <cell r="A12">
            <v>10</v>
          </cell>
          <cell r="B12" t="str">
            <v>Steam Generator Improvements Initiatives</v>
          </cell>
          <cell r="C12">
            <v>24395807.685359348</v>
          </cell>
          <cell r="D12">
            <v>-11.885200000000001</v>
          </cell>
          <cell r="E12">
            <v>219.69700000000006</v>
          </cell>
          <cell r="F12">
            <v>0</v>
          </cell>
          <cell r="G12">
            <v>0</v>
          </cell>
          <cell r="H12">
            <v>24396015.497159347</v>
          </cell>
        </row>
        <row r="13">
          <cell r="A13">
            <v>11</v>
          </cell>
          <cell r="B13" t="str">
            <v>Increase Capacity of Steam Generator System</v>
          </cell>
          <cell r="C13">
            <v>1431971.0863485013</v>
          </cell>
          <cell r="D13">
            <v>0</v>
          </cell>
          <cell r="E13">
            <v>0</v>
          </cell>
          <cell r="F13">
            <v>0</v>
          </cell>
          <cell r="G13">
            <v>0</v>
          </cell>
          <cell r="H13">
            <v>1431971.0863485013</v>
          </cell>
        </row>
        <row r="14">
          <cell r="A14">
            <v>12</v>
          </cell>
          <cell r="B14" t="str">
            <v>Intermediate Radwaste Storage Facilities</v>
          </cell>
          <cell r="C14">
            <v>0</v>
          </cell>
          <cell r="D14">
            <v>0</v>
          </cell>
          <cell r="E14">
            <v>0</v>
          </cell>
          <cell r="F14">
            <v>0</v>
          </cell>
          <cell r="G14">
            <v>0</v>
          </cell>
          <cell r="H14">
            <v>0</v>
          </cell>
        </row>
        <row r="15">
          <cell r="A15">
            <v>13</v>
          </cell>
          <cell r="B15" t="str">
            <v>Low Level Radwaste</v>
          </cell>
          <cell r="C15">
            <v>0</v>
          </cell>
          <cell r="D15">
            <v>0</v>
          </cell>
          <cell r="E15">
            <v>0</v>
          </cell>
          <cell r="F15">
            <v>0</v>
          </cell>
          <cell r="G15">
            <v>0</v>
          </cell>
          <cell r="H15">
            <v>0</v>
          </cell>
        </row>
        <row r="16">
          <cell r="A16">
            <v>14</v>
          </cell>
          <cell r="B16" t="str">
            <v>Improvements to Plant Security Barriers</v>
          </cell>
          <cell r="C16">
            <v>0</v>
          </cell>
          <cell r="D16">
            <v>0</v>
          </cell>
          <cell r="E16">
            <v>0</v>
          </cell>
          <cell r="F16">
            <v>0</v>
          </cell>
          <cell r="G16">
            <v>0</v>
          </cell>
          <cell r="H16">
            <v>0</v>
          </cell>
        </row>
        <row r="17">
          <cell r="A17">
            <v>15</v>
          </cell>
          <cell r="B17" t="str">
            <v>Main Power Transformer Replacement</v>
          </cell>
          <cell r="C17">
            <v>0</v>
          </cell>
          <cell r="D17">
            <v>0</v>
          </cell>
          <cell r="E17">
            <v>0</v>
          </cell>
          <cell r="F17">
            <v>0</v>
          </cell>
          <cell r="G17">
            <v>0</v>
          </cell>
          <cell r="H17">
            <v>0</v>
          </cell>
        </row>
        <row r="18">
          <cell r="A18">
            <v>16</v>
          </cell>
          <cell r="B18" t="str">
            <v>Replacement of Plant Security Computers</v>
          </cell>
          <cell r="C18">
            <v>0</v>
          </cell>
          <cell r="D18">
            <v>0</v>
          </cell>
          <cell r="E18">
            <v>0</v>
          </cell>
          <cell r="F18">
            <v>0</v>
          </cell>
          <cell r="G18">
            <v>0</v>
          </cell>
          <cell r="H18">
            <v>0</v>
          </cell>
        </row>
        <row r="19">
          <cell r="A19">
            <v>17</v>
          </cell>
          <cell r="B19" t="str">
            <v>Land or Right-of-Way Acquisition</v>
          </cell>
          <cell r="C19">
            <v>0</v>
          </cell>
          <cell r="D19">
            <v>0</v>
          </cell>
          <cell r="E19">
            <v>0</v>
          </cell>
          <cell r="F19">
            <v>0</v>
          </cell>
          <cell r="G19">
            <v>0</v>
          </cell>
          <cell r="H19">
            <v>0</v>
          </cell>
        </row>
        <row r="20">
          <cell r="A20">
            <v>18</v>
          </cell>
          <cell r="B20" t="str">
            <v>Transmission Lines and Substation</v>
          </cell>
          <cell r="C20">
            <v>0</v>
          </cell>
          <cell r="D20">
            <v>0</v>
          </cell>
          <cell r="E20">
            <v>0</v>
          </cell>
          <cell r="F20">
            <v>0</v>
          </cell>
          <cell r="G20">
            <v>0</v>
          </cell>
          <cell r="H20">
            <v>0</v>
          </cell>
        </row>
        <row r="21">
          <cell r="A21">
            <v>19</v>
          </cell>
          <cell r="B21" t="str">
            <v>Radioactive Gas Effluent Monitoring</v>
          </cell>
          <cell r="C21">
            <v>0</v>
          </cell>
          <cell r="D21">
            <v>0</v>
          </cell>
          <cell r="E21">
            <v>0</v>
          </cell>
          <cell r="F21">
            <v>0</v>
          </cell>
          <cell r="G21">
            <v>0</v>
          </cell>
          <cell r="H21">
            <v>0</v>
          </cell>
        </row>
        <row r="22">
          <cell r="A22">
            <v>20</v>
          </cell>
          <cell r="B22" t="str">
            <v>High Density Spent Fuel Storage</v>
          </cell>
          <cell r="C22">
            <v>12781500.192131486</v>
          </cell>
          <cell r="D22">
            <v>30293.232999999997</v>
          </cell>
          <cell r="E22">
            <v>0</v>
          </cell>
          <cell r="F22">
            <v>0</v>
          </cell>
          <cell r="G22">
            <v>0</v>
          </cell>
          <cell r="H22">
            <v>12811793.425131485</v>
          </cell>
        </row>
        <row r="23">
          <cell r="A23">
            <v>21</v>
          </cell>
          <cell r="B23" t="str">
            <v>ATWS (Alternative Transient Without SCRAM) - Turbine Modification</v>
          </cell>
          <cell r="C23">
            <v>1550.2695000000001</v>
          </cell>
          <cell r="D23">
            <v>0</v>
          </cell>
          <cell r="E23">
            <v>0</v>
          </cell>
          <cell r="F23">
            <v>0</v>
          </cell>
          <cell r="G23">
            <v>0</v>
          </cell>
          <cell r="H23">
            <v>1550.2695000000001</v>
          </cell>
        </row>
        <row r="24">
          <cell r="A24">
            <v>22</v>
          </cell>
          <cell r="B24" t="str">
            <v>ATWS (Alternative Transient Without SCRAM) - Modification for BWRs</v>
          </cell>
          <cell r="C24">
            <v>27326.500479999999</v>
          </cell>
          <cell r="D24">
            <v>0</v>
          </cell>
          <cell r="E24">
            <v>0</v>
          </cell>
          <cell r="F24">
            <v>0</v>
          </cell>
          <cell r="G24">
            <v>0</v>
          </cell>
          <cell r="H24">
            <v>27326.500479999999</v>
          </cell>
        </row>
        <row r="25">
          <cell r="A25">
            <v>23</v>
          </cell>
          <cell r="B25" t="str">
            <v>Resistance Temperature Detectors</v>
          </cell>
          <cell r="C25">
            <v>2780508.612500486</v>
          </cell>
          <cell r="D25">
            <v>0</v>
          </cell>
          <cell r="E25">
            <v>0</v>
          </cell>
          <cell r="F25">
            <v>0</v>
          </cell>
          <cell r="G25">
            <v>0</v>
          </cell>
          <cell r="H25">
            <v>2780508.612500486</v>
          </cell>
        </row>
        <row r="26">
          <cell r="A26">
            <v>24</v>
          </cell>
          <cell r="B26" t="str">
            <v>Process Computer Upgrades</v>
          </cell>
          <cell r="C26">
            <v>0</v>
          </cell>
          <cell r="D26">
            <v>0</v>
          </cell>
          <cell r="E26">
            <v>0</v>
          </cell>
          <cell r="F26">
            <v>0</v>
          </cell>
          <cell r="G26">
            <v>0</v>
          </cell>
          <cell r="H26">
            <v>0</v>
          </cell>
        </row>
        <row r="27">
          <cell r="A27">
            <v>25</v>
          </cell>
          <cell r="B27" t="str">
            <v>Resolution of Human Engineering Discrepancy</v>
          </cell>
          <cell r="C27">
            <v>24137874.168085158</v>
          </cell>
          <cell r="D27">
            <v>0</v>
          </cell>
          <cell r="E27">
            <v>0</v>
          </cell>
          <cell r="F27">
            <v>15973.404466</v>
          </cell>
          <cell r="G27">
            <v>15973.404466</v>
          </cell>
          <cell r="H27">
            <v>24153847.572551157</v>
          </cell>
        </row>
        <row r="28">
          <cell r="A28">
            <v>26</v>
          </cell>
          <cell r="B28" t="str">
            <v>Snubber Reduction Program</v>
          </cell>
          <cell r="C28">
            <v>13127568.183722457</v>
          </cell>
          <cell r="D28">
            <v>0</v>
          </cell>
          <cell r="E28">
            <v>-7686.3409999999994</v>
          </cell>
          <cell r="F28">
            <v>0</v>
          </cell>
          <cell r="G28">
            <v>0</v>
          </cell>
          <cell r="H28">
            <v>13119881.842722457</v>
          </cell>
        </row>
        <row r="29">
          <cell r="A29">
            <v>27</v>
          </cell>
          <cell r="B29" t="str">
            <v>Safety-Related Valves</v>
          </cell>
          <cell r="C29">
            <v>18425084.325985558</v>
          </cell>
          <cell r="D29">
            <v>0</v>
          </cell>
          <cell r="E29">
            <v>0</v>
          </cell>
          <cell r="F29">
            <v>0</v>
          </cell>
          <cell r="G29">
            <v>0</v>
          </cell>
          <cell r="H29">
            <v>18425084.325985558</v>
          </cell>
        </row>
        <row r="30">
          <cell r="A30">
            <v>28</v>
          </cell>
          <cell r="B30" t="str">
            <v>Events Recorder System</v>
          </cell>
          <cell r="C30">
            <v>0</v>
          </cell>
          <cell r="D30">
            <v>0</v>
          </cell>
          <cell r="E30">
            <v>0</v>
          </cell>
          <cell r="F30">
            <v>0</v>
          </cell>
          <cell r="G30">
            <v>0</v>
          </cell>
          <cell r="H30">
            <v>0</v>
          </cell>
        </row>
        <row r="31">
          <cell r="A31">
            <v>29</v>
          </cell>
          <cell r="B31" t="str">
            <v>Metal Diaphragm Valves</v>
          </cell>
          <cell r="C31">
            <v>0</v>
          </cell>
          <cell r="D31">
            <v>0</v>
          </cell>
          <cell r="E31">
            <v>0</v>
          </cell>
          <cell r="F31">
            <v>0</v>
          </cell>
          <cell r="G31">
            <v>0</v>
          </cell>
          <cell r="H31">
            <v>0</v>
          </cell>
        </row>
        <row r="32">
          <cell r="A32">
            <v>30</v>
          </cell>
          <cell r="B32" t="str">
            <v>Installation of Safe Shutdown Cables/ Appendix R</v>
          </cell>
          <cell r="C32">
            <v>3762243.059191498</v>
          </cell>
          <cell r="D32">
            <v>0</v>
          </cell>
          <cell r="E32">
            <v>5006763.6900000004</v>
          </cell>
          <cell r="F32">
            <v>1025408.2609840003</v>
          </cell>
          <cell r="G32">
            <v>1025408.2609840003</v>
          </cell>
          <cell r="H32">
            <v>9794415.0101754963</v>
          </cell>
        </row>
        <row r="33">
          <cell r="A33">
            <v>31</v>
          </cell>
          <cell r="B33" t="str">
            <v>Steam Generator Level Instrumentation</v>
          </cell>
          <cell r="C33">
            <v>434393.14029049978</v>
          </cell>
          <cell r="D33">
            <v>0</v>
          </cell>
          <cell r="E33">
            <v>0</v>
          </cell>
          <cell r="F33">
            <v>0</v>
          </cell>
          <cell r="G33">
            <v>0</v>
          </cell>
          <cell r="H33">
            <v>434393.14029049978</v>
          </cell>
        </row>
        <row r="34">
          <cell r="A34">
            <v>32</v>
          </cell>
          <cell r="B34" t="str">
            <v>Radioactive Chemical Laboratory Expansion</v>
          </cell>
          <cell r="C34">
            <v>0</v>
          </cell>
          <cell r="D34">
            <v>0</v>
          </cell>
          <cell r="E34">
            <v>0</v>
          </cell>
          <cell r="F34">
            <v>0</v>
          </cell>
          <cell r="G34">
            <v>0</v>
          </cell>
          <cell r="H34">
            <v>0</v>
          </cell>
        </row>
        <row r="35">
          <cell r="A35">
            <v>33</v>
          </cell>
          <cell r="B35" t="str">
            <v>Replacement of Generator Retaining Rings</v>
          </cell>
          <cell r="C35">
            <v>0</v>
          </cell>
          <cell r="D35">
            <v>0</v>
          </cell>
          <cell r="E35">
            <v>0</v>
          </cell>
          <cell r="F35">
            <v>0</v>
          </cell>
          <cell r="G35">
            <v>0</v>
          </cell>
          <cell r="H35">
            <v>0</v>
          </cell>
        </row>
        <row r="36">
          <cell r="A36">
            <v>34</v>
          </cell>
          <cell r="B36" t="str">
            <v>Extraction Steam Piping</v>
          </cell>
          <cell r="C36">
            <v>50585.731599999999</v>
          </cell>
          <cell r="D36">
            <v>0</v>
          </cell>
          <cell r="E36">
            <v>0</v>
          </cell>
          <cell r="F36">
            <v>0</v>
          </cell>
          <cell r="G36">
            <v>0</v>
          </cell>
          <cell r="H36">
            <v>50585.731599999999</v>
          </cell>
        </row>
        <row r="37">
          <cell r="A37">
            <v>35</v>
          </cell>
          <cell r="B37" t="str">
            <v>Dynamic Rod Worth Measurement</v>
          </cell>
          <cell r="C37">
            <v>0</v>
          </cell>
          <cell r="D37">
            <v>0</v>
          </cell>
          <cell r="E37">
            <v>0</v>
          </cell>
          <cell r="F37">
            <v>0</v>
          </cell>
          <cell r="G37">
            <v>0</v>
          </cell>
          <cell r="H37">
            <v>0</v>
          </cell>
        </row>
        <row r="38">
          <cell r="A38">
            <v>36</v>
          </cell>
          <cell r="B38" t="str">
            <v>Reactor Core Monitor</v>
          </cell>
          <cell r="C38">
            <v>0</v>
          </cell>
          <cell r="D38">
            <v>0</v>
          </cell>
          <cell r="E38">
            <v>0</v>
          </cell>
          <cell r="F38">
            <v>0</v>
          </cell>
          <cell r="G38">
            <v>0</v>
          </cell>
          <cell r="H38">
            <v>0</v>
          </cell>
        </row>
        <row r="39">
          <cell r="A39">
            <v>37</v>
          </cell>
          <cell r="B39" t="str">
            <v>Design and Installation of Clamps to Mitigate Cracking due to IGSCC in Reactor Internals of Exelon’s BWR Stations</v>
          </cell>
          <cell r="C39">
            <v>5780734.6282879934</v>
          </cell>
          <cell r="D39">
            <v>142000</v>
          </cell>
          <cell r="E39">
            <v>267930</v>
          </cell>
          <cell r="F39">
            <v>87945.965479000035</v>
          </cell>
          <cell r="G39">
            <v>87945.965479000035</v>
          </cell>
          <cell r="H39">
            <v>6278610.5937669938</v>
          </cell>
        </row>
        <row r="40">
          <cell r="A40">
            <v>38</v>
          </cell>
          <cell r="B40" t="str">
            <v>Natural Draft Cooling Tower Conversion</v>
          </cell>
          <cell r="C40">
            <v>1248943.3491729998</v>
          </cell>
          <cell r="D40">
            <v>210102.15850000002</v>
          </cell>
          <cell r="E40">
            <v>0</v>
          </cell>
          <cell r="F40">
            <v>0</v>
          </cell>
          <cell r="G40">
            <v>0</v>
          </cell>
          <cell r="H40">
            <v>1459045.507673</v>
          </cell>
        </row>
        <row r="41">
          <cell r="A41">
            <v>39</v>
          </cell>
          <cell r="B41" t="str">
            <v>Service Water Cooling Pipe Material Re-Evaluation</v>
          </cell>
          <cell r="C41">
            <v>342111.6126680001</v>
          </cell>
          <cell r="D41">
            <v>17705.734200000028</v>
          </cell>
          <cell r="E41">
            <v>1930.2850000000001</v>
          </cell>
          <cell r="F41">
            <v>223.90114999999935</v>
          </cell>
          <cell r="G41">
            <v>223.90114999999935</v>
          </cell>
          <cell r="H41">
            <v>361971.53301800007</v>
          </cell>
        </row>
        <row r="42">
          <cell r="A42">
            <v>40</v>
          </cell>
          <cell r="B42" t="str">
            <v>River Silt Control System</v>
          </cell>
          <cell r="C42">
            <v>219439.13403399996</v>
          </cell>
          <cell r="D42">
            <v>0</v>
          </cell>
          <cell r="E42">
            <v>0</v>
          </cell>
          <cell r="F42">
            <v>0</v>
          </cell>
          <cell r="G42">
            <v>0</v>
          </cell>
          <cell r="H42">
            <v>219439.13403399996</v>
          </cell>
        </row>
        <row r="43">
          <cell r="A43">
            <v>41</v>
          </cell>
          <cell r="B43" t="str">
            <v>Pressurized Water Reactor Simulator</v>
          </cell>
          <cell r="C43">
            <v>0</v>
          </cell>
          <cell r="D43">
            <v>0</v>
          </cell>
          <cell r="E43">
            <v>0</v>
          </cell>
          <cell r="F43">
            <v>0</v>
          </cell>
          <cell r="G43">
            <v>0</v>
          </cell>
          <cell r="H43">
            <v>0</v>
          </cell>
        </row>
        <row r="44">
          <cell r="A44">
            <v>42</v>
          </cell>
          <cell r="B44" t="str">
            <v>Joint Public Information Center</v>
          </cell>
          <cell r="C44">
            <v>0</v>
          </cell>
          <cell r="D44">
            <v>0</v>
          </cell>
          <cell r="E44">
            <v>0</v>
          </cell>
          <cell r="F44">
            <v>0</v>
          </cell>
          <cell r="G44">
            <v>0</v>
          </cell>
          <cell r="H44">
            <v>0</v>
          </cell>
        </row>
        <row r="45">
          <cell r="A45">
            <v>43</v>
          </cell>
          <cell r="B45" t="str">
            <v>Low Pressure Turbine Rotor</v>
          </cell>
          <cell r="C45">
            <v>8286018.9971264862</v>
          </cell>
          <cell r="D45">
            <v>39995.110999999983</v>
          </cell>
          <cell r="E45">
            <v>0</v>
          </cell>
          <cell r="F45">
            <v>0</v>
          </cell>
          <cell r="G45">
            <v>0</v>
          </cell>
          <cell r="H45">
            <v>8326014.1081264857</v>
          </cell>
        </row>
        <row r="46">
          <cell r="A46">
            <v>44</v>
          </cell>
          <cell r="B46" t="str">
            <v>Replace Asbestos Insulation</v>
          </cell>
          <cell r="C46">
            <v>0</v>
          </cell>
          <cell r="D46">
            <v>0</v>
          </cell>
          <cell r="E46">
            <v>0</v>
          </cell>
          <cell r="F46">
            <v>0</v>
          </cell>
          <cell r="G46">
            <v>0</v>
          </cell>
          <cell r="H46">
            <v>0</v>
          </cell>
        </row>
        <row r="47">
          <cell r="A47">
            <v>45</v>
          </cell>
          <cell r="B47" t="str">
            <v>Piping Susceptible to Intergranular Stress Corrosion Cracking</v>
          </cell>
          <cell r="C47">
            <v>7622676.0753580006</v>
          </cell>
          <cell r="D47">
            <v>0</v>
          </cell>
          <cell r="E47">
            <v>78279.864000000001</v>
          </cell>
          <cell r="F47">
            <v>-424.06976600000002</v>
          </cell>
          <cell r="G47">
            <v>-424.06976600000002</v>
          </cell>
          <cell r="H47">
            <v>7700531.8695920007</v>
          </cell>
        </row>
        <row r="48">
          <cell r="A48">
            <v>46</v>
          </cell>
          <cell r="B48" t="str">
            <v>24 Month Operating Cycle</v>
          </cell>
          <cell r="C48">
            <v>0</v>
          </cell>
          <cell r="D48">
            <v>0</v>
          </cell>
          <cell r="E48">
            <v>0</v>
          </cell>
          <cell r="F48">
            <v>0</v>
          </cell>
          <cell r="G48">
            <v>0</v>
          </cell>
          <cell r="H48">
            <v>0</v>
          </cell>
        </row>
        <row r="49">
          <cell r="A49">
            <v>47</v>
          </cell>
          <cell r="B49" t="str">
            <v>GENERIC LETTER 96-01</v>
          </cell>
          <cell r="C49">
            <v>0</v>
          </cell>
          <cell r="D49">
            <v>0</v>
          </cell>
          <cell r="E49">
            <v>0</v>
          </cell>
          <cell r="F49">
            <v>0</v>
          </cell>
          <cell r="G49">
            <v>0</v>
          </cell>
          <cell r="H49">
            <v>0</v>
          </cell>
        </row>
        <row r="50">
          <cell r="A50">
            <v>48</v>
          </cell>
          <cell r="B50" t="str">
            <v>Reactor Building Cooling</v>
          </cell>
          <cell r="C50">
            <v>0</v>
          </cell>
          <cell r="D50">
            <v>0</v>
          </cell>
          <cell r="E50">
            <v>0</v>
          </cell>
          <cell r="F50">
            <v>2625168.6260374971</v>
          </cell>
          <cell r="G50">
            <v>2625168.6260374971</v>
          </cell>
          <cell r="H50">
            <v>2625168.6260374971</v>
          </cell>
        </row>
        <row r="51">
          <cell r="A51">
            <v>49</v>
          </cell>
          <cell r="B51" t="str">
            <v>Upgrade Standby Gas Treatment</v>
          </cell>
          <cell r="C51">
            <v>16183.827659999999</v>
          </cell>
          <cell r="D51">
            <v>0</v>
          </cell>
          <cell r="E51">
            <v>0</v>
          </cell>
          <cell r="F51">
            <v>0</v>
          </cell>
          <cell r="G51">
            <v>0</v>
          </cell>
          <cell r="H51">
            <v>16183.827659999999</v>
          </cell>
        </row>
        <row r="52">
          <cell r="A52">
            <v>50</v>
          </cell>
          <cell r="B52" t="str">
            <v>Pipe Ventilation System</v>
          </cell>
          <cell r="C52">
            <v>0</v>
          </cell>
          <cell r="D52">
            <v>0</v>
          </cell>
          <cell r="E52">
            <v>0</v>
          </cell>
          <cell r="F52">
            <v>0</v>
          </cell>
          <cell r="G52">
            <v>0</v>
          </cell>
          <cell r="H52">
            <v>0</v>
          </cell>
        </row>
        <row r="53">
          <cell r="A53">
            <v>51</v>
          </cell>
          <cell r="B53" t="str">
            <v>Control Rod Shield</v>
          </cell>
          <cell r="C53">
            <v>94.988615500002652</v>
          </cell>
          <cell r="D53">
            <v>0</v>
          </cell>
          <cell r="E53">
            <v>0</v>
          </cell>
          <cell r="F53">
            <v>0</v>
          </cell>
          <cell r="G53">
            <v>0</v>
          </cell>
          <cell r="H53">
            <v>94.988615500002652</v>
          </cell>
        </row>
        <row r="54">
          <cell r="A54">
            <v>52</v>
          </cell>
          <cell r="B54" t="str">
            <v>Feedwater System Revision</v>
          </cell>
          <cell r="C54">
            <v>2470602.9960524933</v>
          </cell>
          <cell r="D54">
            <v>0</v>
          </cell>
          <cell r="E54">
            <v>124902.74849999996</v>
          </cell>
          <cell r="F54">
            <v>71071.540150000015</v>
          </cell>
          <cell r="G54">
            <v>71071.540150000015</v>
          </cell>
          <cell r="H54">
            <v>2666577.2847024929</v>
          </cell>
        </row>
        <row r="55">
          <cell r="A55">
            <v>53</v>
          </cell>
          <cell r="B55" t="str">
            <v>Off-Gas Hydrogen Combustion Design Basis Accident</v>
          </cell>
          <cell r="C55">
            <v>293810.51034050016</v>
          </cell>
          <cell r="D55">
            <v>0</v>
          </cell>
          <cell r="E55">
            <v>0</v>
          </cell>
          <cell r="F55">
            <v>0</v>
          </cell>
          <cell r="G55">
            <v>0</v>
          </cell>
          <cell r="H55">
            <v>293810.51034050016</v>
          </cell>
        </row>
        <row r="56">
          <cell r="A56">
            <v>54</v>
          </cell>
          <cell r="B56" t="str">
            <v>Dry Tube Assembly</v>
          </cell>
          <cell r="C56">
            <v>0</v>
          </cell>
          <cell r="D56">
            <v>0</v>
          </cell>
          <cell r="E56">
            <v>0</v>
          </cell>
          <cell r="F56">
            <v>0</v>
          </cell>
          <cell r="G56">
            <v>0</v>
          </cell>
          <cell r="H56">
            <v>0</v>
          </cell>
        </row>
        <row r="57">
          <cell r="A57">
            <v>55</v>
          </cell>
          <cell r="B57" t="str">
            <v>Batteries &amp; Chargers</v>
          </cell>
          <cell r="C57">
            <v>35899.804804500047</v>
          </cell>
          <cell r="D57">
            <v>0</v>
          </cell>
          <cell r="E57">
            <v>0</v>
          </cell>
          <cell r="F57">
            <v>0</v>
          </cell>
          <cell r="G57">
            <v>0</v>
          </cell>
          <cell r="H57">
            <v>35899.804804500047</v>
          </cell>
        </row>
        <row r="58">
          <cell r="A58">
            <v>56</v>
          </cell>
          <cell r="B58" t="str">
            <v>Technical Support Facility &amp; Emergency Offsite Facility</v>
          </cell>
          <cell r="C58">
            <v>3328731.3317375039</v>
          </cell>
          <cell r="D58">
            <v>0</v>
          </cell>
          <cell r="E58">
            <v>0</v>
          </cell>
          <cell r="F58">
            <v>0</v>
          </cell>
          <cell r="G58">
            <v>0</v>
          </cell>
          <cell r="H58">
            <v>3328731.3317375039</v>
          </cell>
        </row>
        <row r="59">
          <cell r="A59">
            <v>57</v>
          </cell>
          <cell r="B59" t="str">
            <v>TMI Accident Review Modifications</v>
          </cell>
          <cell r="C59">
            <v>2435227.3810010017</v>
          </cell>
          <cell r="D59">
            <v>0</v>
          </cell>
          <cell r="E59">
            <v>0</v>
          </cell>
          <cell r="F59">
            <v>0</v>
          </cell>
          <cell r="G59">
            <v>0</v>
          </cell>
          <cell r="H59">
            <v>2435227.3810010017</v>
          </cell>
        </row>
        <row r="60">
          <cell r="A60">
            <v>58</v>
          </cell>
          <cell r="B60" t="str">
            <v>Canal Cooling Bank Improvements</v>
          </cell>
          <cell r="C60">
            <v>0</v>
          </cell>
          <cell r="D60">
            <v>0</v>
          </cell>
          <cell r="E60">
            <v>0</v>
          </cell>
          <cell r="F60">
            <v>0</v>
          </cell>
          <cell r="G60">
            <v>0</v>
          </cell>
          <cell r="H60">
            <v>0</v>
          </cell>
        </row>
        <row r="61">
          <cell r="A61">
            <v>59</v>
          </cell>
          <cell r="B61" t="str">
            <v>Corner Room Modifications</v>
          </cell>
          <cell r="C61">
            <v>0</v>
          </cell>
          <cell r="D61">
            <v>0</v>
          </cell>
          <cell r="E61">
            <v>0</v>
          </cell>
          <cell r="F61">
            <v>0</v>
          </cell>
          <cell r="G61">
            <v>0</v>
          </cell>
          <cell r="H61">
            <v>0</v>
          </cell>
        </row>
        <row r="62">
          <cell r="A62">
            <v>60</v>
          </cell>
          <cell r="B62" t="str">
            <v>Lubricating System Diesel Generator</v>
          </cell>
          <cell r="C62">
            <v>0</v>
          </cell>
          <cell r="D62">
            <v>0</v>
          </cell>
          <cell r="E62">
            <v>0</v>
          </cell>
          <cell r="F62">
            <v>0</v>
          </cell>
          <cell r="G62">
            <v>0</v>
          </cell>
          <cell r="H62">
            <v>0</v>
          </cell>
        </row>
        <row r="63">
          <cell r="A63">
            <v>61</v>
          </cell>
          <cell r="B63" t="str">
            <v>Reactor Protection Indication System Cables</v>
          </cell>
          <cell r="C63">
            <v>0</v>
          </cell>
          <cell r="D63">
            <v>0</v>
          </cell>
          <cell r="E63">
            <v>0</v>
          </cell>
          <cell r="F63">
            <v>0</v>
          </cell>
          <cell r="G63">
            <v>0</v>
          </cell>
          <cell r="H63">
            <v>0</v>
          </cell>
        </row>
        <row r="64">
          <cell r="A64">
            <v>62</v>
          </cell>
          <cell r="B64" t="str">
            <v>Physical Support of Safety Related Piping</v>
          </cell>
          <cell r="C64">
            <v>16559147.049991027</v>
          </cell>
          <cell r="D64">
            <v>0</v>
          </cell>
          <cell r="E64">
            <v>0</v>
          </cell>
          <cell r="F64">
            <v>0</v>
          </cell>
          <cell r="G64">
            <v>0</v>
          </cell>
          <cell r="H64">
            <v>16559147.049991027</v>
          </cell>
        </row>
        <row r="65">
          <cell r="A65">
            <v>63</v>
          </cell>
          <cell r="B65" t="str">
            <v>Zion Safety Improvements: Service Water</v>
          </cell>
          <cell r="C65">
            <v>12321386.974367017</v>
          </cell>
          <cell r="D65">
            <v>0</v>
          </cell>
          <cell r="E65">
            <v>42250</v>
          </cell>
          <cell r="F65">
            <v>0</v>
          </cell>
          <cell r="G65">
            <v>0</v>
          </cell>
          <cell r="H65">
            <v>12363636.974367017</v>
          </cell>
        </row>
        <row r="66">
          <cell r="A66">
            <v>64</v>
          </cell>
          <cell r="B66" t="str">
            <v>Liquid Radwaste System Improvement</v>
          </cell>
          <cell r="C66">
            <v>5535100.5601999518</v>
          </cell>
          <cell r="D66">
            <v>0</v>
          </cell>
          <cell r="E66">
            <v>0</v>
          </cell>
          <cell r="F66">
            <v>0</v>
          </cell>
          <cell r="G66">
            <v>0</v>
          </cell>
          <cell r="H66">
            <v>5535100.5601999518</v>
          </cell>
        </row>
        <row r="67">
          <cell r="A67">
            <v>65</v>
          </cell>
          <cell r="B67" t="str">
            <v>Installation of Nitrogen Containment Air Dilution (NCAD) System</v>
          </cell>
          <cell r="C67">
            <v>35957.199778500006</v>
          </cell>
          <cell r="D67">
            <v>0</v>
          </cell>
          <cell r="E67">
            <v>0</v>
          </cell>
          <cell r="F67">
            <v>0</v>
          </cell>
          <cell r="G67">
            <v>0</v>
          </cell>
          <cell r="H67">
            <v>35957.199778500006</v>
          </cell>
        </row>
        <row r="68">
          <cell r="A68">
            <v>66</v>
          </cell>
          <cell r="B68" t="str">
            <v>Initial Coatings</v>
          </cell>
          <cell r="C68">
            <v>0</v>
          </cell>
          <cell r="D68">
            <v>0</v>
          </cell>
          <cell r="E68">
            <v>0</v>
          </cell>
          <cell r="F68">
            <v>0</v>
          </cell>
          <cell r="G68">
            <v>0</v>
          </cell>
          <cell r="H68">
            <v>0</v>
          </cell>
        </row>
        <row r="69">
          <cell r="A69">
            <v>67</v>
          </cell>
          <cell r="B69" t="str">
            <v>Reactor Head Removal Tool Replacement</v>
          </cell>
          <cell r="C69">
            <v>0</v>
          </cell>
          <cell r="D69">
            <v>0</v>
          </cell>
          <cell r="E69">
            <v>0</v>
          </cell>
          <cell r="F69">
            <v>0</v>
          </cell>
          <cell r="G69">
            <v>0</v>
          </cell>
          <cell r="H69">
            <v>0</v>
          </cell>
        </row>
        <row r="70">
          <cell r="A70">
            <v>68</v>
          </cell>
          <cell r="B70" t="str">
            <v>Refueling Bridges</v>
          </cell>
          <cell r="C70">
            <v>0</v>
          </cell>
          <cell r="D70">
            <v>0</v>
          </cell>
          <cell r="E70">
            <v>0</v>
          </cell>
          <cell r="F70">
            <v>0</v>
          </cell>
          <cell r="G70">
            <v>0</v>
          </cell>
          <cell r="H70">
            <v>0</v>
          </cell>
        </row>
        <row r="71">
          <cell r="A71">
            <v>69</v>
          </cell>
          <cell r="B71" t="str">
            <v>Long Term SCRAM Reduction Modifications</v>
          </cell>
          <cell r="C71">
            <v>1424704.0773214989</v>
          </cell>
          <cell r="D71">
            <v>0</v>
          </cell>
          <cell r="E71">
            <v>0</v>
          </cell>
          <cell r="F71">
            <v>0</v>
          </cell>
          <cell r="G71">
            <v>0</v>
          </cell>
          <cell r="H71">
            <v>1424704.0773214989</v>
          </cell>
        </row>
        <row r="72">
          <cell r="A72">
            <v>70</v>
          </cell>
          <cell r="B72" t="str">
            <v>Containment Penetration Bellows</v>
          </cell>
          <cell r="C72">
            <v>3100391.3995104958</v>
          </cell>
          <cell r="D72">
            <v>0</v>
          </cell>
          <cell r="E72">
            <v>0</v>
          </cell>
          <cell r="F72">
            <v>14080.054377999999</v>
          </cell>
          <cell r="G72">
            <v>14080.054377999999</v>
          </cell>
          <cell r="H72">
            <v>3114471.4538884959</v>
          </cell>
        </row>
        <row r="73">
          <cell r="A73">
            <v>71</v>
          </cell>
          <cell r="B73" t="str">
            <v>Hydrogen Water Chemistry</v>
          </cell>
          <cell r="C73">
            <v>6456934.386208945</v>
          </cell>
          <cell r="D73">
            <v>492271.18150000024</v>
          </cell>
          <cell r="E73">
            <v>24319.434500000003</v>
          </cell>
          <cell r="F73">
            <v>0</v>
          </cell>
          <cell r="G73">
            <v>0</v>
          </cell>
          <cell r="H73">
            <v>6973525.0022089453</v>
          </cell>
        </row>
        <row r="74">
          <cell r="A74">
            <v>72</v>
          </cell>
          <cell r="B74" t="str">
            <v>Water Chemistry Improvement</v>
          </cell>
          <cell r="C74">
            <v>0</v>
          </cell>
          <cell r="D74">
            <v>0</v>
          </cell>
          <cell r="E74">
            <v>0</v>
          </cell>
          <cell r="F74">
            <v>0</v>
          </cell>
          <cell r="G74">
            <v>0</v>
          </cell>
          <cell r="H74">
            <v>0</v>
          </cell>
        </row>
        <row r="75">
          <cell r="A75">
            <v>73</v>
          </cell>
          <cell r="B75" t="str">
            <v>Upgrade of 4kV Auxiliary Power Distribution</v>
          </cell>
          <cell r="C75">
            <v>5410273.2812494943</v>
          </cell>
          <cell r="D75">
            <v>3370.44</v>
          </cell>
          <cell r="E75">
            <v>0</v>
          </cell>
          <cell r="F75">
            <v>275809.88305100007</v>
          </cell>
          <cell r="G75">
            <v>275809.88305100007</v>
          </cell>
          <cell r="H75">
            <v>5689453.6043004952</v>
          </cell>
        </row>
        <row r="76">
          <cell r="A76">
            <v>74</v>
          </cell>
          <cell r="B76" t="str">
            <v>Environmental Qualification</v>
          </cell>
          <cell r="C76">
            <v>6172933.5758940028</v>
          </cell>
          <cell r="D76">
            <v>0</v>
          </cell>
          <cell r="E76">
            <v>0</v>
          </cell>
          <cell r="F76">
            <v>1448869.0340864984</v>
          </cell>
          <cell r="G76">
            <v>1448869.0340864984</v>
          </cell>
          <cell r="H76">
            <v>7621802.6099805012</v>
          </cell>
        </row>
        <row r="77">
          <cell r="A77">
            <v>75</v>
          </cell>
          <cell r="B77" t="str">
            <v>Water Level Measurement and Instrumentation Design Flaw Correction</v>
          </cell>
          <cell r="C77">
            <v>7338772.0479360241</v>
          </cell>
          <cell r="D77">
            <v>0</v>
          </cell>
          <cell r="E77">
            <v>0</v>
          </cell>
          <cell r="F77">
            <v>909147.52974650043</v>
          </cell>
          <cell r="G77">
            <v>909147.52974650043</v>
          </cell>
          <cell r="H77">
            <v>8247919.5776825249</v>
          </cell>
        </row>
        <row r="78">
          <cell r="A78">
            <v>76</v>
          </cell>
          <cell r="B78" t="str">
            <v>Replace Main Generator Voltage Regulator</v>
          </cell>
          <cell r="C78">
            <v>0</v>
          </cell>
          <cell r="D78">
            <v>0</v>
          </cell>
          <cell r="E78">
            <v>0</v>
          </cell>
          <cell r="F78">
            <v>0</v>
          </cell>
          <cell r="G78">
            <v>0</v>
          </cell>
          <cell r="H78">
            <v>0</v>
          </cell>
        </row>
        <row r="79">
          <cell r="A79">
            <v>77</v>
          </cell>
          <cell r="B79" t="str">
            <v>Masonry Block Wall Study and Upgrades</v>
          </cell>
          <cell r="C79">
            <v>137678.07331450004</v>
          </cell>
          <cell r="D79">
            <v>0</v>
          </cell>
          <cell r="E79">
            <v>0</v>
          </cell>
          <cell r="F79">
            <v>0</v>
          </cell>
          <cell r="G79">
            <v>0</v>
          </cell>
          <cell r="H79">
            <v>137678.07331450004</v>
          </cell>
        </row>
        <row r="80">
          <cell r="A80">
            <v>78</v>
          </cell>
          <cell r="B80" t="str">
            <v>Zinc Injection System</v>
          </cell>
          <cell r="C80">
            <v>669467.16093000013</v>
          </cell>
          <cell r="D80">
            <v>94926.161999999982</v>
          </cell>
          <cell r="E80">
            <v>0</v>
          </cell>
          <cell r="F80">
            <v>243441.9640025002</v>
          </cell>
          <cell r="G80">
            <v>243441.9640025002</v>
          </cell>
          <cell r="H80">
            <v>1007835.2869325003</v>
          </cell>
        </row>
        <row r="81">
          <cell r="A81">
            <v>79</v>
          </cell>
          <cell r="B81" t="str">
            <v>Disposal of Reactor Core Components</v>
          </cell>
          <cell r="C81">
            <v>0</v>
          </cell>
          <cell r="D81">
            <v>0</v>
          </cell>
          <cell r="E81">
            <v>0</v>
          </cell>
          <cell r="F81">
            <v>0</v>
          </cell>
          <cell r="G81">
            <v>0</v>
          </cell>
          <cell r="H81">
            <v>0</v>
          </cell>
        </row>
        <row r="82">
          <cell r="A82">
            <v>80</v>
          </cell>
          <cell r="B82" t="str">
            <v>Rotating Assemblies and Monitoring</v>
          </cell>
          <cell r="C82">
            <v>0</v>
          </cell>
          <cell r="D82">
            <v>0</v>
          </cell>
          <cell r="E82">
            <v>0</v>
          </cell>
          <cell r="F82">
            <v>0</v>
          </cell>
          <cell r="G82">
            <v>0</v>
          </cell>
          <cell r="H82">
            <v>0</v>
          </cell>
        </row>
        <row r="83">
          <cell r="A83">
            <v>81</v>
          </cell>
          <cell r="B83" t="str">
            <v>Reactor Water Level Trip System</v>
          </cell>
          <cell r="C83">
            <v>1917055.5237000026</v>
          </cell>
          <cell r="D83">
            <v>0</v>
          </cell>
          <cell r="E83">
            <v>0</v>
          </cell>
          <cell r="F83">
            <v>0</v>
          </cell>
          <cell r="G83">
            <v>0</v>
          </cell>
          <cell r="H83">
            <v>1917055.5237000026</v>
          </cell>
        </row>
        <row r="84">
          <cell r="A84">
            <v>82</v>
          </cell>
          <cell r="B84" t="str">
            <v>Isolation Condenser</v>
          </cell>
          <cell r="C84">
            <v>0</v>
          </cell>
          <cell r="D84">
            <v>0</v>
          </cell>
          <cell r="E84">
            <v>0</v>
          </cell>
          <cell r="F84">
            <v>0</v>
          </cell>
          <cell r="G84">
            <v>0</v>
          </cell>
          <cell r="H84">
            <v>0</v>
          </cell>
        </row>
        <row r="85">
          <cell r="A85">
            <v>83</v>
          </cell>
          <cell r="B85" t="str">
            <v>Auxiliary Building Ventilation Fan Motor</v>
          </cell>
          <cell r="C85">
            <v>0</v>
          </cell>
          <cell r="D85">
            <v>0</v>
          </cell>
          <cell r="E85">
            <v>0</v>
          </cell>
          <cell r="F85">
            <v>0</v>
          </cell>
          <cell r="G85">
            <v>0</v>
          </cell>
          <cell r="H85">
            <v>0</v>
          </cell>
        </row>
        <row r="86">
          <cell r="A86">
            <v>84</v>
          </cell>
          <cell r="B86" t="str">
            <v>High Pressure Turbine Blades</v>
          </cell>
          <cell r="C86">
            <v>142787.30346300008</v>
          </cell>
          <cell r="D86">
            <v>190482.72399999999</v>
          </cell>
          <cell r="E86">
            <v>21164.72050000001</v>
          </cell>
          <cell r="F86">
            <v>0</v>
          </cell>
          <cell r="G86">
            <v>0</v>
          </cell>
          <cell r="H86">
            <v>354434.74796300003</v>
          </cell>
        </row>
        <row r="87">
          <cell r="A87">
            <v>85</v>
          </cell>
          <cell r="B87" t="str">
            <v>Public Notification System</v>
          </cell>
          <cell r="C87">
            <v>0</v>
          </cell>
          <cell r="D87">
            <v>0</v>
          </cell>
          <cell r="E87">
            <v>0</v>
          </cell>
          <cell r="F87">
            <v>0</v>
          </cell>
          <cell r="G87">
            <v>0</v>
          </cell>
          <cell r="H87">
            <v>0</v>
          </cell>
        </row>
        <row r="88">
          <cell r="A88">
            <v>86</v>
          </cell>
          <cell r="B88" t="str">
            <v>Replace Masonelian Control Valves</v>
          </cell>
          <cell r="C88">
            <v>0</v>
          </cell>
          <cell r="D88">
            <v>0</v>
          </cell>
          <cell r="E88">
            <v>0</v>
          </cell>
          <cell r="F88">
            <v>0</v>
          </cell>
          <cell r="G88">
            <v>0</v>
          </cell>
          <cell r="H88">
            <v>0</v>
          </cell>
        </row>
        <row r="89">
          <cell r="A89">
            <v>87</v>
          </cell>
          <cell r="B89" t="str">
            <v>Installation of PWR Core Monitoring System</v>
          </cell>
          <cell r="C89">
            <v>0</v>
          </cell>
          <cell r="D89">
            <v>0</v>
          </cell>
          <cell r="E89">
            <v>0</v>
          </cell>
          <cell r="F89">
            <v>0</v>
          </cell>
          <cell r="G89">
            <v>0</v>
          </cell>
          <cell r="H89">
            <v>0</v>
          </cell>
        </row>
        <row r="90">
          <cell r="A90">
            <v>88</v>
          </cell>
          <cell r="B90" t="str">
            <v>Fuel Sipping Equipment</v>
          </cell>
          <cell r="C90">
            <v>0</v>
          </cell>
          <cell r="D90">
            <v>0</v>
          </cell>
          <cell r="E90">
            <v>0</v>
          </cell>
          <cell r="F90">
            <v>0</v>
          </cell>
          <cell r="G90">
            <v>0</v>
          </cell>
          <cell r="H90">
            <v>0</v>
          </cell>
        </row>
        <row r="91">
          <cell r="A91">
            <v>89</v>
          </cell>
          <cell r="B91" t="str">
            <v>Systematic Evaluation Program</v>
          </cell>
          <cell r="C91">
            <v>35920.537986999989</v>
          </cell>
          <cell r="D91">
            <v>0</v>
          </cell>
          <cell r="E91">
            <v>0</v>
          </cell>
          <cell r="F91">
            <v>0</v>
          </cell>
          <cell r="G91">
            <v>0</v>
          </cell>
          <cell r="H91">
            <v>35920.537986999989</v>
          </cell>
        </row>
        <row r="92">
          <cell r="A92">
            <v>90</v>
          </cell>
          <cell r="B92" t="str">
            <v>Decommissioning</v>
          </cell>
          <cell r="C92">
            <v>16211313.825114895</v>
          </cell>
          <cell r="D92">
            <v>0</v>
          </cell>
          <cell r="E92">
            <v>0</v>
          </cell>
          <cell r="F92">
            <v>0</v>
          </cell>
          <cell r="G92">
            <v>0</v>
          </cell>
          <cell r="H92">
            <v>16211313.825114895</v>
          </cell>
        </row>
        <row r="93">
          <cell r="A93">
            <v>91</v>
          </cell>
          <cell r="B93" t="str">
            <v>Traveling In Core Probe System</v>
          </cell>
          <cell r="C93">
            <v>0</v>
          </cell>
          <cell r="D93">
            <v>0</v>
          </cell>
          <cell r="E93">
            <v>0</v>
          </cell>
          <cell r="F93">
            <v>0</v>
          </cell>
          <cell r="G93">
            <v>0</v>
          </cell>
          <cell r="H93">
            <v>0</v>
          </cell>
        </row>
        <row r="94">
          <cell r="A94">
            <v>92</v>
          </cell>
          <cell r="B94" t="str">
            <v>Reactor Recirculation Pump Routine Replacement</v>
          </cell>
          <cell r="C94">
            <v>0</v>
          </cell>
          <cell r="D94">
            <v>0</v>
          </cell>
          <cell r="E94">
            <v>0</v>
          </cell>
          <cell r="F94">
            <v>0</v>
          </cell>
          <cell r="G94">
            <v>0</v>
          </cell>
          <cell r="H94">
            <v>0</v>
          </cell>
        </row>
        <row r="95">
          <cell r="A95">
            <v>93</v>
          </cell>
          <cell r="B95" t="str">
            <v>Replace Recirculation Pump Element</v>
          </cell>
          <cell r="C95">
            <v>0</v>
          </cell>
          <cell r="D95">
            <v>0</v>
          </cell>
          <cell r="E95">
            <v>0</v>
          </cell>
          <cell r="F95">
            <v>0</v>
          </cell>
          <cell r="G95">
            <v>0</v>
          </cell>
          <cell r="H95">
            <v>0</v>
          </cell>
        </row>
        <row r="96">
          <cell r="A96">
            <v>94</v>
          </cell>
          <cell r="B96" t="str">
            <v>Station Blackout</v>
          </cell>
          <cell r="C96">
            <v>0</v>
          </cell>
          <cell r="D96">
            <v>0</v>
          </cell>
          <cell r="E96">
            <v>0</v>
          </cell>
          <cell r="F96">
            <v>0</v>
          </cell>
          <cell r="G96">
            <v>0</v>
          </cell>
          <cell r="H96">
            <v>0</v>
          </cell>
        </row>
        <row r="97">
          <cell r="A97">
            <v>95</v>
          </cell>
          <cell r="B97" t="str">
            <v>Mark 1 Containment Modifications</v>
          </cell>
          <cell r="C97">
            <v>4207685.7743880004</v>
          </cell>
          <cell r="D97">
            <v>0</v>
          </cell>
          <cell r="E97">
            <v>0</v>
          </cell>
          <cell r="F97">
            <v>0</v>
          </cell>
          <cell r="G97">
            <v>0</v>
          </cell>
          <cell r="H97">
            <v>4207685.7743880004</v>
          </cell>
        </row>
        <row r="98">
          <cell r="A98">
            <v>96</v>
          </cell>
          <cell r="B98" t="str">
            <v>Feedwater Flow Measurement Instrumentation</v>
          </cell>
          <cell r="C98">
            <v>0</v>
          </cell>
          <cell r="D98">
            <v>0</v>
          </cell>
          <cell r="E98">
            <v>0</v>
          </cell>
          <cell r="F98">
            <v>0</v>
          </cell>
          <cell r="G98">
            <v>0</v>
          </cell>
          <cell r="H98">
            <v>0</v>
          </cell>
        </row>
        <row r="99">
          <cell r="A99">
            <v>97</v>
          </cell>
          <cell r="B99" t="str">
            <v>Computer Upgrades</v>
          </cell>
          <cell r="C99">
            <v>0</v>
          </cell>
          <cell r="D99">
            <v>0</v>
          </cell>
          <cell r="E99">
            <v>0</v>
          </cell>
          <cell r="F99">
            <v>0</v>
          </cell>
          <cell r="G99">
            <v>0</v>
          </cell>
          <cell r="H99">
            <v>0</v>
          </cell>
        </row>
        <row r="100">
          <cell r="A100">
            <v>98</v>
          </cell>
          <cell r="B100" t="str">
            <v>Heat Tracing System</v>
          </cell>
          <cell r="C100">
            <v>0</v>
          </cell>
          <cell r="D100">
            <v>0</v>
          </cell>
          <cell r="E100">
            <v>0</v>
          </cell>
          <cell r="F100">
            <v>0</v>
          </cell>
          <cell r="G100">
            <v>0</v>
          </cell>
          <cell r="H100">
            <v>0</v>
          </cell>
        </row>
        <row r="101">
          <cell r="A101">
            <v>99</v>
          </cell>
          <cell r="B101" t="str">
            <v>Reactor Building High Temperatures (LOCA)</v>
          </cell>
          <cell r="C101">
            <v>0</v>
          </cell>
          <cell r="D101">
            <v>0</v>
          </cell>
          <cell r="E101">
            <v>0</v>
          </cell>
          <cell r="F101">
            <v>0</v>
          </cell>
          <cell r="G101">
            <v>0</v>
          </cell>
          <cell r="H101">
            <v>0</v>
          </cell>
        </row>
        <row r="102">
          <cell r="A102">
            <v>100</v>
          </cell>
          <cell r="B102" t="str">
            <v>Emergency Lighting &amp; Fire Protection</v>
          </cell>
          <cell r="C102">
            <v>0</v>
          </cell>
          <cell r="D102">
            <v>0</v>
          </cell>
          <cell r="E102">
            <v>0</v>
          </cell>
          <cell r="F102">
            <v>0</v>
          </cell>
          <cell r="G102">
            <v>0</v>
          </cell>
          <cell r="H102">
            <v>0</v>
          </cell>
        </row>
        <row r="103">
          <cell r="A103">
            <v>102</v>
          </cell>
          <cell r="B103" t="str">
            <v>HPCS/RCIC System Piping Modification</v>
          </cell>
          <cell r="C103">
            <v>1921658.2284705006</v>
          </cell>
          <cell r="D103">
            <v>0</v>
          </cell>
          <cell r="E103">
            <v>0</v>
          </cell>
          <cell r="F103">
            <v>0</v>
          </cell>
          <cell r="G103">
            <v>0</v>
          </cell>
          <cell r="H103">
            <v>1921658.2284705006</v>
          </cell>
        </row>
        <row r="104">
          <cell r="A104">
            <v>103</v>
          </cell>
          <cell r="B104" t="str">
            <v>Drywell Ventilation System Improvements</v>
          </cell>
          <cell r="C104">
            <v>4548794.1199649917</v>
          </cell>
          <cell r="D104">
            <v>0</v>
          </cell>
          <cell r="E104">
            <v>0</v>
          </cell>
          <cell r="F104">
            <v>0</v>
          </cell>
          <cell r="G104">
            <v>0</v>
          </cell>
          <cell r="H104">
            <v>4548794.1199649917</v>
          </cell>
        </row>
        <row r="105">
          <cell r="A105">
            <v>104</v>
          </cell>
          <cell r="B105" t="str">
            <v>Containment Vent &amp; Purge Valves</v>
          </cell>
          <cell r="C105">
            <v>1548941.2891409989</v>
          </cell>
          <cell r="D105">
            <v>0</v>
          </cell>
          <cell r="E105">
            <v>0</v>
          </cell>
          <cell r="F105">
            <v>0</v>
          </cell>
          <cell r="G105">
            <v>0</v>
          </cell>
          <cell r="H105">
            <v>1548941.2891409989</v>
          </cell>
        </row>
        <row r="106">
          <cell r="A106">
            <v>105</v>
          </cell>
          <cell r="B106" t="str">
            <v>Spare Exciter Unit</v>
          </cell>
          <cell r="C106">
            <v>0</v>
          </cell>
          <cell r="D106">
            <v>0</v>
          </cell>
          <cell r="E106">
            <v>0</v>
          </cell>
          <cell r="F106">
            <v>0</v>
          </cell>
          <cell r="G106">
            <v>0</v>
          </cell>
          <cell r="H106">
            <v>0</v>
          </cell>
        </row>
        <row r="107">
          <cell r="A107">
            <v>106</v>
          </cell>
          <cell r="B107" t="str">
            <v>Extend Discharge Canal to Eliminate Fog</v>
          </cell>
          <cell r="C107">
            <v>229375.38934450003</v>
          </cell>
          <cell r="D107">
            <v>0</v>
          </cell>
          <cell r="E107">
            <v>0</v>
          </cell>
          <cell r="F107">
            <v>0</v>
          </cell>
          <cell r="G107">
            <v>0</v>
          </cell>
          <cell r="H107">
            <v>229375.38934450003</v>
          </cell>
        </row>
        <row r="108">
          <cell r="A108">
            <v>107</v>
          </cell>
          <cell r="B108" t="str">
            <v>NGG Year 2000</v>
          </cell>
          <cell r="C108">
            <v>0</v>
          </cell>
          <cell r="D108">
            <v>0</v>
          </cell>
          <cell r="E108">
            <v>0</v>
          </cell>
          <cell r="F108">
            <v>0</v>
          </cell>
          <cell r="G108">
            <v>0</v>
          </cell>
          <cell r="H108">
            <v>0</v>
          </cell>
        </row>
        <row r="109">
          <cell r="A109">
            <v>108</v>
          </cell>
          <cell r="B109" t="str">
            <v>Radiation Monitor</v>
          </cell>
          <cell r="C109">
            <v>0</v>
          </cell>
          <cell r="D109">
            <v>0</v>
          </cell>
          <cell r="E109">
            <v>0</v>
          </cell>
          <cell r="F109">
            <v>0</v>
          </cell>
          <cell r="G109">
            <v>0</v>
          </cell>
          <cell r="H109">
            <v>0</v>
          </cell>
        </row>
        <row r="110">
          <cell r="A110">
            <v>109</v>
          </cell>
          <cell r="B110" t="str">
            <v>DBI Issues/Resolution</v>
          </cell>
          <cell r="C110">
            <v>0</v>
          </cell>
          <cell r="D110">
            <v>0</v>
          </cell>
          <cell r="E110">
            <v>0</v>
          </cell>
          <cell r="F110">
            <v>0</v>
          </cell>
          <cell r="G110">
            <v>0</v>
          </cell>
          <cell r="H110">
            <v>0</v>
          </cell>
        </row>
        <row r="111">
          <cell r="A111">
            <v>110</v>
          </cell>
          <cell r="B111" t="str">
            <v>Feedwater Bypass Line &amp; Valves</v>
          </cell>
          <cell r="C111">
            <v>0</v>
          </cell>
          <cell r="D111">
            <v>0</v>
          </cell>
          <cell r="E111">
            <v>0</v>
          </cell>
          <cell r="F111">
            <v>0</v>
          </cell>
          <cell r="G111">
            <v>0</v>
          </cell>
          <cell r="H111">
            <v>0</v>
          </cell>
        </row>
        <row r="112">
          <cell r="A112">
            <v>111</v>
          </cell>
          <cell r="B112" t="str">
            <v>Diesel Generator System Upgrade</v>
          </cell>
          <cell r="C112">
            <v>0</v>
          </cell>
          <cell r="D112">
            <v>0</v>
          </cell>
          <cell r="E112">
            <v>0</v>
          </cell>
          <cell r="F112">
            <v>0</v>
          </cell>
          <cell r="G112">
            <v>0</v>
          </cell>
          <cell r="H112">
            <v>0</v>
          </cell>
        </row>
        <row r="113">
          <cell r="A113">
            <v>112</v>
          </cell>
          <cell r="B113" t="str">
            <v>Main Generator Revision</v>
          </cell>
          <cell r="C113">
            <v>0</v>
          </cell>
          <cell r="D113">
            <v>0</v>
          </cell>
          <cell r="E113">
            <v>0</v>
          </cell>
          <cell r="F113">
            <v>0</v>
          </cell>
          <cell r="G113">
            <v>0</v>
          </cell>
          <cell r="H113">
            <v>0</v>
          </cell>
        </row>
        <row r="114">
          <cell r="A114">
            <v>113</v>
          </cell>
          <cell r="B114" t="str">
            <v>Control Power Supply Upgrade</v>
          </cell>
          <cell r="C114">
            <v>0</v>
          </cell>
          <cell r="D114">
            <v>0</v>
          </cell>
          <cell r="E114">
            <v>0</v>
          </cell>
          <cell r="F114">
            <v>0</v>
          </cell>
          <cell r="G114">
            <v>0</v>
          </cell>
          <cell r="H114">
            <v>0</v>
          </cell>
        </row>
        <row r="115">
          <cell r="A115">
            <v>114</v>
          </cell>
          <cell r="B115" t="str">
            <v>Pump Supporting System</v>
          </cell>
          <cell r="C115">
            <v>0</v>
          </cell>
          <cell r="D115">
            <v>0</v>
          </cell>
          <cell r="E115">
            <v>0</v>
          </cell>
          <cell r="F115">
            <v>0</v>
          </cell>
          <cell r="G115">
            <v>0</v>
          </cell>
          <cell r="H115">
            <v>0</v>
          </cell>
        </row>
        <row r="116">
          <cell r="A116">
            <v>115</v>
          </cell>
          <cell r="B116" t="str">
            <v>Radio System Upgrade</v>
          </cell>
          <cell r="C116">
            <v>0</v>
          </cell>
          <cell r="D116">
            <v>0</v>
          </cell>
          <cell r="E116">
            <v>0</v>
          </cell>
          <cell r="F116">
            <v>0</v>
          </cell>
          <cell r="G116">
            <v>0</v>
          </cell>
          <cell r="H116">
            <v>0</v>
          </cell>
        </row>
        <row r="117">
          <cell r="A117">
            <v>116</v>
          </cell>
          <cell r="B117" t="str">
            <v>Layer Separators for Generator Rotor Windings</v>
          </cell>
          <cell r="C117">
            <v>421042.45862250018</v>
          </cell>
          <cell r="D117">
            <v>0</v>
          </cell>
          <cell r="E117">
            <v>0</v>
          </cell>
          <cell r="F117">
            <v>0</v>
          </cell>
          <cell r="G117">
            <v>0</v>
          </cell>
          <cell r="H117">
            <v>421042.45862250018</v>
          </cell>
        </row>
        <row r="118">
          <cell r="A118">
            <v>117</v>
          </cell>
          <cell r="B118" t="str">
            <v>Emergency Core Cooling System</v>
          </cell>
          <cell r="C118">
            <v>0</v>
          </cell>
          <cell r="D118">
            <v>0</v>
          </cell>
          <cell r="E118">
            <v>0</v>
          </cell>
          <cell r="F118">
            <v>0</v>
          </cell>
          <cell r="G118">
            <v>0</v>
          </cell>
          <cell r="H118">
            <v>0</v>
          </cell>
        </row>
        <row r="119">
          <cell r="A119">
            <v>118</v>
          </cell>
          <cell r="B119" t="str">
            <v>Main Steam Safety Relief Valves</v>
          </cell>
          <cell r="C119">
            <v>718928.8564939996</v>
          </cell>
          <cell r="D119">
            <v>0</v>
          </cell>
          <cell r="E119">
            <v>0</v>
          </cell>
          <cell r="F119">
            <v>0</v>
          </cell>
          <cell r="G119">
            <v>0</v>
          </cell>
          <cell r="H119">
            <v>718928.8564939996</v>
          </cell>
        </row>
        <row r="120">
          <cell r="A120">
            <v>119</v>
          </cell>
          <cell r="B120" t="str">
            <v>Upgrade Feedwater Regulating Valves</v>
          </cell>
          <cell r="C120">
            <v>408641.92150150071</v>
          </cell>
          <cell r="D120">
            <v>0</v>
          </cell>
          <cell r="E120">
            <v>0</v>
          </cell>
          <cell r="F120">
            <v>0</v>
          </cell>
          <cell r="G120">
            <v>0</v>
          </cell>
          <cell r="H120">
            <v>408641.92150150071</v>
          </cell>
        </row>
        <row r="121">
          <cell r="A121">
            <v>120</v>
          </cell>
          <cell r="B121" t="str">
            <v>LaSalle High Energy Line Break Issue</v>
          </cell>
          <cell r="C121">
            <v>0</v>
          </cell>
          <cell r="D121">
            <v>1508405.1394999998</v>
          </cell>
          <cell r="E121">
            <v>0</v>
          </cell>
          <cell r="F121">
            <v>0</v>
          </cell>
          <cell r="G121">
            <v>0</v>
          </cell>
          <cell r="H121">
            <v>1508405.1394999998</v>
          </cell>
        </row>
        <row r="122">
          <cell r="A122">
            <v>121</v>
          </cell>
          <cell r="B122" t="str">
            <v>Post Accident Sampling System</v>
          </cell>
          <cell r="C122">
            <v>24097.073375999989</v>
          </cell>
          <cell r="D122">
            <v>0</v>
          </cell>
          <cell r="E122">
            <v>0</v>
          </cell>
          <cell r="F122">
            <v>0</v>
          </cell>
          <cell r="G122">
            <v>0</v>
          </cell>
          <cell r="H122">
            <v>24097.073375999989</v>
          </cell>
        </row>
        <row r="123">
          <cell r="A123">
            <v>122</v>
          </cell>
          <cell r="B123" t="str">
            <v>Water Pump Vault Ventilation</v>
          </cell>
          <cell r="C123">
            <v>-79.635484500000075</v>
          </cell>
          <cell r="D123">
            <v>0</v>
          </cell>
          <cell r="E123">
            <v>0</v>
          </cell>
          <cell r="F123">
            <v>0</v>
          </cell>
          <cell r="G123">
            <v>0</v>
          </cell>
          <cell r="H123">
            <v>-79.635484500000075</v>
          </cell>
        </row>
        <row r="124">
          <cell r="A124">
            <v>123</v>
          </cell>
          <cell r="B124" t="str">
            <v>Drywell/Torus Purge Valves</v>
          </cell>
          <cell r="C124">
            <v>0</v>
          </cell>
          <cell r="D124">
            <v>0</v>
          </cell>
          <cell r="E124">
            <v>0</v>
          </cell>
          <cell r="F124">
            <v>0</v>
          </cell>
          <cell r="G124">
            <v>0</v>
          </cell>
          <cell r="H124">
            <v>0</v>
          </cell>
        </row>
        <row r="125">
          <cell r="A125">
            <v>124</v>
          </cell>
          <cell r="B125" t="str">
            <v>Safety Related Cables</v>
          </cell>
          <cell r="C125">
            <v>0</v>
          </cell>
          <cell r="D125">
            <v>0</v>
          </cell>
          <cell r="E125">
            <v>0</v>
          </cell>
          <cell r="F125">
            <v>0</v>
          </cell>
          <cell r="G125">
            <v>0</v>
          </cell>
          <cell r="H125">
            <v>0</v>
          </cell>
        </row>
        <row r="126">
          <cell r="A126">
            <v>125</v>
          </cell>
          <cell r="B126" t="str">
            <v>Residual Heat Removal Pump Monitoring</v>
          </cell>
          <cell r="C126">
            <v>0</v>
          </cell>
          <cell r="D126">
            <v>0</v>
          </cell>
          <cell r="E126">
            <v>0</v>
          </cell>
          <cell r="F126">
            <v>0</v>
          </cell>
          <cell r="G126">
            <v>0</v>
          </cell>
          <cell r="H126">
            <v>0</v>
          </cell>
        </row>
        <row r="127">
          <cell r="A127">
            <v>126</v>
          </cell>
          <cell r="B127" t="str">
            <v>MSIV Actuators</v>
          </cell>
          <cell r="C127">
            <v>0</v>
          </cell>
          <cell r="D127">
            <v>0</v>
          </cell>
          <cell r="E127">
            <v>0</v>
          </cell>
          <cell r="F127">
            <v>0</v>
          </cell>
          <cell r="G127">
            <v>0</v>
          </cell>
          <cell r="H127">
            <v>0</v>
          </cell>
        </row>
        <row r="128">
          <cell r="A128">
            <v>127</v>
          </cell>
          <cell r="B128" t="str">
            <v>Improvements to Reactor Building Sumps</v>
          </cell>
          <cell r="C128">
            <v>0</v>
          </cell>
          <cell r="D128">
            <v>0</v>
          </cell>
          <cell r="E128">
            <v>0</v>
          </cell>
          <cell r="F128">
            <v>0</v>
          </cell>
          <cell r="G128">
            <v>0</v>
          </cell>
          <cell r="H128">
            <v>0</v>
          </cell>
        </row>
        <row r="129">
          <cell r="A129">
            <v>128</v>
          </cell>
          <cell r="B129" t="str">
            <v>Data Communications</v>
          </cell>
          <cell r="C129">
            <v>0</v>
          </cell>
          <cell r="D129">
            <v>0</v>
          </cell>
          <cell r="E129">
            <v>0</v>
          </cell>
          <cell r="F129">
            <v>0</v>
          </cell>
          <cell r="G129">
            <v>0</v>
          </cell>
          <cell r="H129">
            <v>0</v>
          </cell>
        </row>
        <row r="130">
          <cell r="A130">
            <v>129</v>
          </cell>
          <cell r="B130" t="str">
            <v>Remove Makeup Demineralizer System</v>
          </cell>
          <cell r="C130">
            <v>0</v>
          </cell>
          <cell r="D130">
            <v>0</v>
          </cell>
          <cell r="E130">
            <v>0</v>
          </cell>
          <cell r="F130">
            <v>0</v>
          </cell>
          <cell r="G130">
            <v>0</v>
          </cell>
          <cell r="H130">
            <v>0</v>
          </cell>
        </row>
        <row r="131">
          <cell r="A131">
            <v>130</v>
          </cell>
          <cell r="B131" t="str">
            <v>Stability of the 4kV Power Distribution System</v>
          </cell>
          <cell r="C131">
            <v>480825.67796999984</v>
          </cell>
          <cell r="D131">
            <v>0</v>
          </cell>
          <cell r="E131">
            <v>0</v>
          </cell>
          <cell r="F131">
            <v>0</v>
          </cell>
          <cell r="G131">
            <v>0</v>
          </cell>
          <cell r="H131">
            <v>480825.67796999984</v>
          </cell>
        </row>
        <row r="132">
          <cell r="A132">
            <v>131</v>
          </cell>
          <cell r="B132" t="str">
            <v>Vacco Filter System</v>
          </cell>
          <cell r="C132">
            <v>0</v>
          </cell>
          <cell r="D132">
            <v>0</v>
          </cell>
          <cell r="E132">
            <v>0</v>
          </cell>
          <cell r="F132">
            <v>0</v>
          </cell>
          <cell r="G132">
            <v>0</v>
          </cell>
          <cell r="H132">
            <v>0</v>
          </cell>
        </row>
        <row r="133">
          <cell r="A133">
            <v>132</v>
          </cell>
          <cell r="B133" t="str">
            <v>Local Leak Rate Test Taps</v>
          </cell>
          <cell r="C133">
            <v>0</v>
          </cell>
          <cell r="D133">
            <v>0</v>
          </cell>
          <cell r="E133">
            <v>0</v>
          </cell>
          <cell r="F133">
            <v>0</v>
          </cell>
          <cell r="G133">
            <v>0</v>
          </cell>
          <cell r="H133">
            <v>0</v>
          </cell>
        </row>
        <row r="134">
          <cell r="A134">
            <v>133</v>
          </cell>
          <cell r="B134" t="str">
            <v>Main Control Room Recorders</v>
          </cell>
          <cell r="C134">
            <v>0</v>
          </cell>
          <cell r="D134">
            <v>0</v>
          </cell>
          <cell r="E134">
            <v>0</v>
          </cell>
          <cell r="F134">
            <v>0</v>
          </cell>
          <cell r="G134">
            <v>0</v>
          </cell>
          <cell r="H134">
            <v>0</v>
          </cell>
        </row>
        <row r="135">
          <cell r="A135">
            <v>134</v>
          </cell>
          <cell r="B135" t="str">
            <v>Upgrade Relay</v>
          </cell>
          <cell r="C135">
            <v>0</v>
          </cell>
          <cell r="D135">
            <v>0</v>
          </cell>
          <cell r="E135">
            <v>0</v>
          </cell>
          <cell r="F135">
            <v>0</v>
          </cell>
          <cell r="G135">
            <v>0</v>
          </cell>
          <cell r="H135">
            <v>0</v>
          </cell>
        </row>
        <row r="136">
          <cell r="A136">
            <v>135</v>
          </cell>
          <cell r="B136" t="str">
            <v>Zion TMI Accident Review Modifications</v>
          </cell>
          <cell r="C136">
            <v>9583.2991860000075</v>
          </cell>
          <cell r="D136">
            <v>0</v>
          </cell>
          <cell r="E136">
            <v>0</v>
          </cell>
          <cell r="F136">
            <v>0</v>
          </cell>
          <cell r="G136">
            <v>0</v>
          </cell>
          <cell r="H136">
            <v>9583.2991860000075</v>
          </cell>
        </row>
        <row r="137">
          <cell r="A137">
            <v>136</v>
          </cell>
          <cell r="B137" t="str">
            <v>Improvements to Drywell Monitoring</v>
          </cell>
          <cell r="C137">
            <v>0</v>
          </cell>
          <cell r="D137">
            <v>0</v>
          </cell>
          <cell r="E137">
            <v>0</v>
          </cell>
          <cell r="F137">
            <v>0</v>
          </cell>
          <cell r="G137">
            <v>0</v>
          </cell>
          <cell r="H137">
            <v>0</v>
          </cell>
        </row>
        <row r="138">
          <cell r="A138">
            <v>137</v>
          </cell>
          <cell r="B138" t="str">
            <v>Rerouting of Residual Heat Removal Service Water Line</v>
          </cell>
          <cell r="C138">
            <v>0</v>
          </cell>
          <cell r="D138">
            <v>0</v>
          </cell>
          <cell r="E138">
            <v>0</v>
          </cell>
          <cell r="F138">
            <v>0</v>
          </cell>
          <cell r="G138">
            <v>0</v>
          </cell>
          <cell r="H138">
            <v>0</v>
          </cell>
        </row>
        <row r="139">
          <cell r="A139">
            <v>138</v>
          </cell>
          <cell r="B139" t="str">
            <v>Residual Heat Removal System Check Valves</v>
          </cell>
          <cell r="C139">
            <v>87988.445150000014</v>
          </cell>
          <cell r="D139">
            <v>0</v>
          </cell>
          <cell r="E139">
            <v>0</v>
          </cell>
          <cell r="F139">
            <v>0</v>
          </cell>
          <cell r="G139">
            <v>0</v>
          </cell>
          <cell r="H139">
            <v>87988.445150000014</v>
          </cell>
        </row>
        <row r="140">
          <cell r="A140">
            <v>139</v>
          </cell>
          <cell r="B140" t="str">
            <v>Installation of LUC &amp; GIX Relays</v>
          </cell>
          <cell r="C140">
            <v>0</v>
          </cell>
          <cell r="D140">
            <v>0</v>
          </cell>
          <cell r="E140">
            <v>0</v>
          </cell>
          <cell r="F140">
            <v>0</v>
          </cell>
          <cell r="G140">
            <v>0</v>
          </cell>
          <cell r="H140">
            <v>0</v>
          </cell>
        </row>
        <row r="141">
          <cell r="A141">
            <v>140</v>
          </cell>
          <cell r="B141" t="str">
            <v>Secondary Water Recycle</v>
          </cell>
          <cell r="C141">
            <v>0</v>
          </cell>
          <cell r="D141">
            <v>0</v>
          </cell>
          <cell r="E141">
            <v>0</v>
          </cell>
          <cell r="F141">
            <v>0</v>
          </cell>
          <cell r="G141">
            <v>0</v>
          </cell>
          <cell r="H141">
            <v>0</v>
          </cell>
        </row>
        <row r="142">
          <cell r="A142">
            <v>141</v>
          </cell>
          <cell r="B142" t="str">
            <v>Condensate PreFilter Modification</v>
          </cell>
          <cell r="C142">
            <v>0</v>
          </cell>
          <cell r="D142">
            <v>0</v>
          </cell>
          <cell r="E142">
            <v>0</v>
          </cell>
          <cell r="F142">
            <v>0</v>
          </cell>
          <cell r="G142">
            <v>0</v>
          </cell>
          <cell r="H142">
            <v>0</v>
          </cell>
        </row>
        <row r="143">
          <cell r="A143">
            <v>142</v>
          </cell>
          <cell r="B143" t="str">
            <v>Analytical Instrumentation Upgrade</v>
          </cell>
          <cell r="C143">
            <v>0</v>
          </cell>
          <cell r="D143">
            <v>0</v>
          </cell>
          <cell r="E143">
            <v>0</v>
          </cell>
          <cell r="F143">
            <v>0</v>
          </cell>
          <cell r="G143">
            <v>0</v>
          </cell>
          <cell r="H143">
            <v>0</v>
          </cell>
        </row>
        <row r="144">
          <cell r="A144">
            <v>143</v>
          </cell>
          <cell r="B144" t="str">
            <v>Radiation Monitoring System</v>
          </cell>
          <cell r="C144">
            <v>369104.92891499982</v>
          </cell>
          <cell r="D144">
            <v>0</v>
          </cell>
          <cell r="E144">
            <v>0</v>
          </cell>
          <cell r="F144">
            <v>0</v>
          </cell>
          <cell r="G144">
            <v>0</v>
          </cell>
          <cell r="H144">
            <v>369104.92891499982</v>
          </cell>
        </row>
        <row r="145">
          <cell r="A145">
            <v>144</v>
          </cell>
          <cell r="B145" t="str">
            <v>Air Compressor Instrumentation Upgrade</v>
          </cell>
          <cell r="C145">
            <v>0</v>
          </cell>
          <cell r="D145">
            <v>0</v>
          </cell>
          <cell r="E145">
            <v>0</v>
          </cell>
          <cell r="F145">
            <v>0</v>
          </cell>
          <cell r="G145">
            <v>0</v>
          </cell>
          <cell r="H145">
            <v>0</v>
          </cell>
        </row>
        <row r="146">
          <cell r="A146">
            <v>145</v>
          </cell>
          <cell r="B146" t="str">
            <v>Three Charging Pumps</v>
          </cell>
          <cell r="C146">
            <v>0</v>
          </cell>
          <cell r="D146">
            <v>0</v>
          </cell>
          <cell r="E146">
            <v>0</v>
          </cell>
          <cell r="F146">
            <v>0</v>
          </cell>
          <cell r="G146">
            <v>0</v>
          </cell>
          <cell r="H146">
            <v>0</v>
          </cell>
        </row>
        <row r="147">
          <cell r="A147">
            <v>146</v>
          </cell>
          <cell r="B147" t="str">
            <v>Steam Generators J Nozzles</v>
          </cell>
          <cell r="C147">
            <v>600519.49831600022</v>
          </cell>
          <cell r="D147">
            <v>0</v>
          </cell>
          <cell r="E147">
            <v>0</v>
          </cell>
          <cell r="F147">
            <v>0</v>
          </cell>
          <cell r="G147">
            <v>0</v>
          </cell>
          <cell r="H147">
            <v>600519.49831600022</v>
          </cell>
        </row>
        <row r="148">
          <cell r="A148">
            <v>147</v>
          </cell>
          <cell r="B148" t="str">
            <v>Diesel Generator Air Systems</v>
          </cell>
          <cell r="C148">
            <v>9585136.7747708261</v>
          </cell>
          <cell r="D148">
            <v>10586.316000000001</v>
          </cell>
          <cell r="E148">
            <v>0</v>
          </cell>
          <cell r="F148">
            <v>0</v>
          </cell>
          <cell r="G148">
            <v>0</v>
          </cell>
          <cell r="H148">
            <v>9595723.0907708257</v>
          </cell>
        </row>
        <row r="149">
          <cell r="A149">
            <v>148</v>
          </cell>
          <cell r="B149" t="str">
            <v>Regulatory Guide 1.97 Modification</v>
          </cell>
          <cell r="C149">
            <v>3363292.2030064682</v>
          </cell>
          <cell r="D149">
            <v>0</v>
          </cell>
          <cell r="E149">
            <v>0</v>
          </cell>
          <cell r="F149">
            <v>0</v>
          </cell>
          <cell r="G149">
            <v>0</v>
          </cell>
          <cell r="H149">
            <v>3363292.2030064682</v>
          </cell>
        </row>
        <row r="150">
          <cell r="A150">
            <v>149</v>
          </cell>
          <cell r="B150" t="str">
            <v>Feedwater Pump Discharge Valves</v>
          </cell>
          <cell r="C150">
            <v>0</v>
          </cell>
          <cell r="D150">
            <v>0</v>
          </cell>
          <cell r="E150">
            <v>0</v>
          </cell>
          <cell r="F150">
            <v>0</v>
          </cell>
          <cell r="G150">
            <v>0</v>
          </cell>
          <cell r="H150">
            <v>0</v>
          </cell>
        </row>
        <row r="151">
          <cell r="A151">
            <v>150</v>
          </cell>
          <cell r="B151" t="str">
            <v>Reactor Coolant Pump Motor</v>
          </cell>
          <cell r="C151">
            <v>0</v>
          </cell>
          <cell r="D151">
            <v>0</v>
          </cell>
          <cell r="E151">
            <v>0</v>
          </cell>
          <cell r="F151">
            <v>0</v>
          </cell>
          <cell r="G151">
            <v>0</v>
          </cell>
          <cell r="H151">
            <v>0</v>
          </cell>
        </row>
        <row r="152">
          <cell r="A152">
            <v>151</v>
          </cell>
          <cell r="B152" t="str">
            <v>Radwaste System Modification</v>
          </cell>
          <cell r="C152">
            <v>592682.79408450006</v>
          </cell>
          <cell r="D152">
            <v>0</v>
          </cell>
          <cell r="E152">
            <v>0</v>
          </cell>
          <cell r="F152">
            <v>0</v>
          </cell>
          <cell r="G152">
            <v>0</v>
          </cell>
          <cell r="H152">
            <v>592682.79408450006</v>
          </cell>
        </row>
        <row r="153">
          <cell r="A153">
            <v>152</v>
          </cell>
          <cell r="B153" t="str">
            <v>Computer Inverters Modification</v>
          </cell>
          <cell r="C153">
            <v>0</v>
          </cell>
          <cell r="D153">
            <v>0</v>
          </cell>
          <cell r="E153">
            <v>0</v>
          </cell>
          <cell r="F153">
            <v>0</v>
          </cell>
          <cell r="G153">
            <v>0</v>
          </cell>
          <cell r="H153">
            <v>0</v>
          </cell>
        </row>
        <row r="154">
          <cell r="A154">
            <v>153</v>
          </cell>
          <cell r="B154" t="str">
            <v>Reactor Vessel Integrity Program</v>
          </cell>
          <cell r="C154">
            <v>186057.81024750002</v>
          </cell>
          <cell r="D154">
            <v>0</v>
          </cell>
          <cell r="E154">
            <v>0</v>
          </cell>
          <cell r="F154">
            <v>0</v>
          </cell>
          <cell r="G154">
            <v>0</v>
          </cell>
          <cell r="H154">
            <v>186057.81024750002</v>
          </cell>
        </row>
        <row r="155">
          <cell r="A155">
            <v>154</v>
          </cell>
          <cell r="B155" t="str">
            <v>New Rod Worth Minimizer</v>
          </cell>
          <cell r="C155">
            <v>730160.13136549934</v>
          </cell>
          <cell r="D155">
            <v>0</v>
          </cell>
          <cell r="E155">
            <v>0</v>
          </cell>
          <cell r="F155">
            <v>0</v>
          </cell>
          <cell r="G155">
            <v>0</v>
          </cell>
          <cell r="H155">
            <v>730160.13136549934</v>
          </cell>
        </row>
        <row r="156">
          <cell r="A156">
            <v>155</v>
          </cell>
          <cell r="B156" t="str">
            <v>Drain Controller Replacement</v>
          </cell>
          <cell r="C156">
            <v>0</v>
          </cell>
          <cell r="D156">
            <v>0</v>
          </cell>
          <cell r="E156">
            <v>0</v>
          </cell>
          <cell r="F156">
            <v>0</v>
          </cell>
          <cell r="G156">
            <v>0</v>
          </cell>
          <cell r="H156">
            <v>0</v>
          </cell>
        </row>
        <row r="157">
          <cell r="A157">
            <v>156</v>
          </cell>
          <cell r="B157" t="str">
            <v>Non-Essential Station Load</v>
          </cell>
          <cell r="C157">
            <v>3660.6971664999996</v>
          </cell>
          <cell r="D157">
            <v>0</v>
          </cell>
          <cell r="E157">
            <v>0</v>
          </cell>
          <cell r="F157">
            <v>0</v>
          </cell>
          <cell r="G157">
            <v>0</v>
          </cell>
          <cell r="H157">
            <v>3660.6971664999996</v>
          </cell>
        </row>
        <row r="158">
          <cell r="A158">
            <v>157</v>
          </cell>
          <cell r="B158" t="str">
            <v>Throttle Valve Upgrade</v>
          </cell>
          <cell r="C158">
            <v>495823.38470949954</v>
          </cell>
          <cell r="D158">
            <v>0</v>
          </cell>
          <cell r="E158">
            <v>0</v>
          </cell>
          <cell r="F158">
            <v>0</v>
          </cell>
          <cell r="G158">
            <v>0</v>
          </cell>
          <cell r="H158">
            <v>495823.38470949954</v>
          </cell>
        </row>
        <row r="159">
          <cell r="A159">
            <v>158</v>
          </cell>
          <cell r="B159" t="str">
            <v>Fan Cooler Modification</v>
          </cell>
          <cell r="C159">
            <v>503120.84740799991</v>
          </cell>
          <cell r="D159">
            <v>0</v>
          </cell>
          <cell r="E159">
            <v>0</v>
          </cell>
          <cell r="F159">
            <v>0</v>
          </cell>
          <cell r="G159">
            <v>0</v>
          </cell>
          <cell r="H159">
            <v>503120.84740799991</v>
          </cell>
        </row>
        <row r="160">
          <cell r="A160">
            <v>159</v>
          </cell>
          <cell r="B160" t="str">
            <v>Integration of Anti-Vibration Bars</v>
          </cell>
          <cell r="C160">
            <v>831663.02032349992</v>
          </cell>
          <cell r="D160">
            <v>0</v>
          </cell>
          <cell r="E160">
            <v>0</v>
          </cell>
          <cell r="F160">
            <v>0</v>
          </cell>
          <cell r="G160">
            <v>0</v>
          </cell>
          <cell r="H160">
            <v>831663.02032349992</v>
          </cell>
        </row>
        <row r="161">
          <cell r="A161">
            <v>160</v>
          </cell>
          <cell r="B161" t="str">
            <v>Hydrogen Cooler Modification</v>
          </cell>
          <cell r="C161">
            <v>0</v>
          </cell>
          <cell r="D161">
            <v>0</v>
          </cell>
          <cell r="E161">
            <v>0</v>
          </cell>
          <cell r="F161">
            <v>0</v>
          </cell>
          <cell r="G161">
            <v>0</v>
          </cell>
          <cell r="H161">
            <v>0</v>
          </cell>
        </row>
        <row r="162">
          <cell r="A162">
            <v>161</v>
          </cell>
          <cell r="B162" t="str">
            <v>PICV Test System</v>
          </cell>
          <cell r="C162">
            <v>0</v>
          </cell>
          <cell r="D162">
            <v>0</v>
          </cell>
          <cell r="E162">
            <v>0</v>
          </cell>
          <cell r="F162">
            <v>0</v>
          </cell>
          <cell r="G162">
            <v>0</v>
          </cell>
          <cell r="H162">
            <v>0</v>
          </cell>
        </row>
        <row r="163">
          <cell r="A163">
            <v>162</v>
          </cell>
          <cell r="B163" t="str">
            <v>Upgrade Auxiliary Feedwater Steam Traps</v>
          </cell>
          <cell r="C163">
            <v>96673.793453999984</v>
          </cell>
          <cell r="D163">
            <v>0</v>
          </cell>
          <cell r="E163">
            <v>0</v>
          </cell>
          <cell r="F163">
            <v>0</v>
          </cell>
          <cell r="G163">
            <v>0</v>
          </cell>
          <cell r="H163">
            <v>96673.793453999984</v>
          </cell>
        </row>
        <row r="164">
          <cell r="A164">
            <v>163</v>
          </cell>
          <cell r="B164" t="str">
            <v>Reactor Plant Capital DCPs</v>
          </cell>
          <cell r="C164">
            <v>0</v>
          </cell>
          <cell r="D164">
            <v>0</v>
          </cell>
          <cell r="E164">
            <v>0</v>
          </cell>
          <cell r="F164">
            <v>0</v>
          </cell>
          <cell r="G164">
            <v>0</v>
          </cell>
          <cell r="H164">
            <v>0</v>
          </cell>
        </row>
        <row r="165">
          <cell r="A165">
            <v>164</v>
          </cell>
          <cell r="B165" t="str">
            <v>Reactor Vessel Water Level System</v>
          </cell>
          <cell r="C165">
            <v>49951.873790500002</v>
          </cell>
          <cell r="D165">
            <v>0</v>
          </cell>
          <cell r="E165">
            <v>0</v>
          </cell>
          <cell r="F165">
            <v>0</v>
          </cell>
          <cell r="G165">
            <v>0</v>
          </cell>
          <cell r="H165">
            <v>49951.873790500002</v>
          </cell>
        </row>
        <row r="166">
          <cell r="A166">
            <v>165</v>
          </cell>
          <cell r="B166" t="str">
            <v>Independent Reactor Vessel</v>
          </cell>
          <cell r="C166">
            <v>167511.32158200009</v>
          </cell>
          <cell r="D166">
            <v>0</v>
          </cell>
          <cell r="E166">
            <v>0</v>
          </cell>
          <cell r="F166">
            <v>0</v>
          </cell>
          <cell r="G166">
            <v>0</v>
          </cell>
          <cell r="H166">
            <v>167511.32158200009</v>
          </cell>
        </row>
        <row r="167">
          <cell r="A167">
            <v>166</v>
          </cell>
          <cell r="B167" t="str">
            <v>Decontamination Project</v>
          </cell>
          <cell r="C167">
            <v>3642063.3115664981</v>
          </cell>
          <cell r="D167">
            <v>0</v>
          </cell>
          <cell r="E167">
            <v>0</v>
          </cell>
          <cell r="F167">
            <v>0</v>
          </cell>
          <cell r="G167">
            <v>0</v>
          </cell>
          <cell r="H167">
            <v>3642063.3115664981</v>
          </cell>
        </row>
        <row r="168">
          <cell r="A168">
            <v>167</v>
          </cell>
          <cell r="B168" t="str">
            <v>Install Addition to Fab Shop</v>
          </cell>
          <cell r="C168">
            <v>0</v>
          </cell>
          <cell r="D168">
            <v>0</v>
          </cell>
          <cell r="E168">
            <v>0</v>
          </cell>
          <cell r="F168">
            <v>0</v>
          </cell>
          <cell r="G168">
            <v>0</v>
          </cell>
          <cell r="H168">
            <v>0</v>
          </cell>
        </row>
        <row r="169">
          <cell r="A169">
            <v>168</v>
          </cell>
          <cell r="B169" t="str">
            <v>Two Unloading Heat Exchangers</v>
          </cell>
          <cell r="C169">
            <v>0</v>
          </cell>
          <cell r="D169">
            <v>0</v>
          </cell>
          <cell r="E169">
            <v>0</v>
          </cell>
          <cell r="F169">
            <v>0</v>
          </cell>
          <cell r="G169">
            <v>0</v>
          </cell>
          <cell r="H169">
            <v>0</v>
          </cell>
        </row>
        <row r="170">
          <cell r="A170">
            <v>169</v>
          </cell>
          <cell r="B170" t="str">
            <v>Pneumatic Actuators</v>
          </cell>
          <cell r="C170">
            <v>0</v>
          </cell>
          <cell r="D170">
            <v>0</v>
          </cell>
          <cell r="E170">
            <v>0</v>
          </cell>
          <cell r="F170">
            <v>0</v>
          </cell>
          <cell r="G170">
            <v>0</v>
          </cell>
          <cell r="H170">
            <v>0</v>
          </cell>
        </row>
        <row r="171">
          <cell r="A171">
            <v>170</v>
          </cell>
          <cell r="B171" t="str">
            <v>L2R01 Design Changes</v>
          </cell>
          <cell r="C171">
            <v>0</v>
          </cell>
          <cell r="D171">
            <v>0</v>
          </cell>
          <cell r="E171">
            <v>105867.60458625005</v>
          </cell>
          <cell r="F171">
            <v>0</v>
          </cell>
          <cell r="G171">
            <v>0</v>
          </cell>
          <cell r="H171">
            <v>105867.60458625005</v>
          </cell>
        </row>
        <row r="172">
          <cell r="A172">
            <v>171</v>
          </cell>
          <cell r="B172" t="str">
            <v>Spare Diesel Generator Engine</v>
          </cell>
          <cell r="C172">
            <v>0</v>
          </cell>
          <cell r="D172">
            <v>0</v>
          </cell>
          <cell r="E172">
            <v>0</v>
          </cell>
          <cell r="F172">
            <v>0</v>
          </cell>
          <cell r="G172">
            <v>0</v>
          </cell>
          <cell r="H172">
            <v>0</v>
          </cell>
        </row>
        <row r="173">
          <cell r="A173">
            <v>172</v>
          </cell>
          <cell r="B173" t="str">
            <v>Drywell Cooling System</v>
          </cell>
          <cell r="C173">
            <v>0</v>
          </cell>
          <cell r="D173">
            <v>0</v>
          </cell>
          <cell r="E173">
            <v>0</v>
          </cell>
          <cell r="F173">
            <v>0</v>
          </cell>
          <cell r="G173">
            <v>0</v>
          </cell>
          <cell r="H173">
            <v>0</v>
          </cell>
        </row>
        <row r="174">
          <cell r="A174">
            <v>173</v>
          </cell>
          <cell r="B174" t="str">
            <v>Auxiliary Feed Pump Modification</v>
          </cell>
          <cell r="C174">
            <v>0</v>
          </cell>
          <cell r="D174">
            <v>0</v>
          </cell>
          <cell r="E174">
            <v>0</v>
          </cell>
          <cell r="F174">
            <v>0</v>
          </cell>
          <cell r="G174">
            <v>0</v>
          </cell>
          <cell r="H174">
            <v>0</v>
          </cell>
        </row>
        <row r="175">
          <cell r="A175">
            <v>174</v>
          </cell>
          <cell r="B175" t="str">
            <v>Alternative Intake to Lab Ventilation</v>
          </cell>
          <cell r="C175">
            <v>0</v>
          </cell>
          <cell r="D175">
            <v>61763.097500000003</v>
          </cell>
          <cell r="E175">
            <v>6862.57</v>
          </cell>
          <cell r="F175">
            <v>0</v>
          </cell>
          <cell r="G175">
            <v>0</v>
          </cell>
          <cell r="H175">
            <v>68625.66750000001</v>
          </cell>
        </row>
        <row r="176">
          <cell r="A176">
            <v>175</v>
          </cell>
          <cell r="B176" t="str">
            <v>Digital Rod Position Indication Cable/Connect</v>
          </cell>
          <cell r="C176">
            <v>0</v>
          </cell>
          <cell r="D176">
            <v>0</v>
          </cell>
          <cell r="E176">
            <v>0</v>
          </cell>
          <cell r="F176">
            <v>265089.67189899995</v>
          </cell>
          <cell r="G176">
            <v>265089.67189899995</v>
          </cell>
          <cell r="H176">
            <v>265089.67189899995</v>
          </cell>
        </row>
        <row r="177">
          <cell r="A177">
            <v>176</v>
          </cell>
          <cell r="B177" t="str">
            <v>Power Uprate</v>
          </cell>
          <cell r="C177">
            <v>0</v>
          </cell>
          <cell r="D177">
            <v>319374.96500000003</v>
          </cell>
          <cell r="E177">
            <v>0</v>
          </cell>
          <cell r="F177">
            <v>0</v>
          </cell>
          <cell r="G177">
            <v>0</v>
          </cell>
          <cell r="H177">
            <v>319374.96500000003</v>
          </cell>
        </row>
        <row r="178">
          <cell r="A178">
            <v>177</v>
          </cell>
          <cell r="B178" t="str">
            <v>Seismic Monitor Replacement</v>
          </cell>
          <cell r="C178">
            <v>0</v>
          </cell>
          <cell r="D178">
            <v>0</v>
          </cell>
          <cell r="E178">
            <v>0</v>
          </cell>
          <cell r="F178">
            <v>0</v>
          </cell>
          <cell r="G178">
            <v>0</v>
          </cell>
          <cell r="H178">
            <v>0</v>
          </cell>
        </row>
        <row r="179">
          <cell r="A179">
            <v>178</v>
          </cell>
          <cell r="B179" t="str">
            <v>EHC Elect SCRAM Reduction</v>
          </cell>
          <cell r="C179">
            <v>0</v>
          </cell>
          <cell r="D179">
            <v>0</v>
          </cell>
          <cell r="E179">
            <v>0</v>
          </cell>
          <cell r="F179">
            <v>33649.136253000011</v>
          </cell>
          <cell r="G179">
            <v>33649.136253000011</v>
          </cell>
          <cell r="H179">
            <v>33649.136253000011</v>
          </cell>
        </row>
        <row r="180">
          <cell r="A180">
            <v>179</v>
          </cell>
          <cell r="B180" t="str">
            <v>DCP</v>
          </cell>
          <cell r="C180">
            <v>0</v>
          </cell>
          <cell r="D180">
            <v>0</v>
          </cell>
          <cell r="E180">
            <v>0</v>
          </cell>
          <cell r="F180">
            <v>0</v>
          </cell>
          <cell r="G180">
            <v>0</v>
          </cell>
          <cell r="H180">
            <v>0</v>
          </cell>
        </row>
        <row r="181">
          <cell r="A181">
            <v>180</v>
          </cell>
          <cell r="B181" t="str">
            <v>Source Range ENuclear Instrumentation Upgrade</v>
          </cell>
          <cell r="C181">
            <v>0</v>
          </cell>
          <cell r="D181">
            <v>3065.82</v>
          </cell>
          <cell r="E181">
            <v>0</v>
          </cell>
          <cell r="F181">
            <v>0</v>
          </cell>
          <cell r="G181">
            <v>0</v>
          </cell>
          <cell r="H181">
            <v>3065.82</v>
          </cell>
        </row>
        <row r="182">
          <cell r="A182">
            <v>181</v>
          </cell>
          <cell r="B182" t="str">
            <v>Cathodic Protection of Underground Piping</v>
          </cell>
          <cell r="C182">
            <v>0</v>
          </cell>
          <cell r="D182">
            <v>64694.41</v>
          </cell>
          <cell r="E182">
            <v>0</v>
          </cell>
          <cell r="F182">
            <v>0</v>
          </cell>
          <cell r="G182">
            <v>0</v>
          </cell>
          <cell r="H182">
            <v>64694.41</v>
          </cell>
        </row>
        <row r="183">
          <cell r="A183">
            <v>183</v>
          </cell>
          <cell r="B183" t="str">
            <v>RSH Ice Boom/Blow Down</v>
          </cell>
          <cell r="C183">
            <v>0</v>
          </cell>
          <cell r="D183">
            <v>0</v>
          </cell>
          <cell r="E183">
            <v>0</v>
          </cell>
          <cell r="F183">
            <v>0</v>
          </cell>
          <cell r="G183">
            <v>0</v>
          </cell>
          <cell r="H183">
            <v>0</v>
          </cell>
        </row>
        <row r="184">
          <cell r="A184">
            <v>184</v>
          </cell>
          <cell r="B184" t="str">
            <v>Crane Upgrade</v>
          </cell>
          <cell r="C184">
            <v>0</v>
          </cell>
          <cell r="D184">
            <v>0</v>
          </cell>
          <cell r="E184">
            <v>0</v>
          </cell>
          <cell r="F184">
            <v>0</v>
          </cell>
          <cell r="G184">
            <v>0</v>
          </cell>
          <cell r="H184">
            <v>0</v>
          </cell>
        </row>
        <row r="185">
          <cell r="A185">
            <v>185</v>
          </cell>
          <cell r="B185" t="str">
            <v>Reactor Water Cleanup System High Energy Line Break</v>
          </cell>
          <cell r="C185">
            <v>0</v>
          </cell>
          <cell r="D185">
            <v>963588.49050000019</v>
          </cell>
          <cell r="E185">
            <v>35192.727500000008</v>
          </cell>
          <cell r="F185">
            <v>204901.11359899997</v>
          </cell>
          <cell r="G185">
            <v>204901.11359899997</v>
          </cell>
          <cell r="H185">
            <v>1203682.3315990001</v>
          </cell>
        </row>
        <row r="186">
          <cell r="A186">
            <v>186</v>
          </cell>
          <cell r="B186" t="str">
            <v>SQUG Outliers</v>
          </cell>
          <cell r="C186">
            <v>0</v>
          </cell>
          <cell r="D186">
            <v>0</v>
          </cell>
          <cell r="E186">
            <v>0</v>
          </cell>
          <cell r="F186">
            <v>0</v>
          </cell>
          <cell r="G186">
            <v>0</v>
          </cell>
          <cell r="H186">
            <v>0</v>
          </cell>
        </row>
        <row r="187">
          <cell r="A187">
            <v>187</v>
          </cell>
          <cell r="B187" t="str">
            <v>Maintaining ECCS Flow Path Following a Loss of Coolant Accident</v>
          </cell>
          <cell r="C187">
            <v>0</v>
          </cell>
          <cell r="D187">
            <v>407222.47100000008</v>
          </cell>
          <cell r="E187">
            <v>-4165.46</v>
          </cell>
          <cell r="F187">
            <v>122399.95749999997</v>
          </cell>
          <cell r="G187">
            <v>122399.95749999997</v>
          </cell>
          <cell r="H187">
            <v>525456.96850000008</v>
          </cell>
        </row>
        <row r="188">
          <cell r="A188">
            <v>188</v>
          </cell>
          <cell r="B188" t="str">
            <v>Drywell Insulation Replacement</v>
          </cell>
          <cell r="C188">
            <v>0</v>
          </cell>
          <cell r="D188">
            <v>0</v>
          </cell>
          <cell r="E188">
            <v>0</v>
          </cell>
          <cell r="F188">
            <v>0</v>
          </cell>
          <cell r="G188">
            <v>0</v>
          </cell>
          <cell r="H188">
            <v>0</v>
          </cell>
        </row>
        <row r="189">
          <cell r="A189">
            <v>189</v>
          </cell>
          <cell r="B189" t="str">
            <v>Installation of Cooling Towers at Dresden Nuclear Station</v>
          </cell>
          <cell r="C189">
            <v>0</v>
          </cell>
          <cell r="D189">
            <v>8958.6224999999977</v>
          </cell>
          <cell r="E189">
            <v>54981.734499999999</v>
          </cell>
          <cell r="F189">
            <v>0</v>
          </cell>
          <cell r="G189">
            <v>0</v>
          </cell>
          <cell r="H189">
            <v>63940.356999999996</v>
          </cell>
        </row>
        <row r="190">
          <cell r="A190">
            <v>190</v>
          </cell>
          <cell r="B190" t="str">
            <v>Installation of EHC Isolation Valves</v>
          </cell>
          <cell r="C190">
            <v>0</v>
          </cell>
          <cell r="D190">
            <v>0</v>
          </cell>
          <cell r="E190">
            <v>0</v>
          </cell>
          <cell r="F190">
            <v>0</v>
          </cell>
          <cell r="G190">
            <v>0</v>
          </cell>
          <cell r="H190">
            <v>0</v>
          </cell>
        </row>
        <row r="191">
          <cell r="A191">
            <v>191</v>
          </cell>
          <cell r="B191" t="str">
            <v>Noble Metals Modification</v>
          </cell>
          <cell r="C191">
            <v>0</v>
          </cell>
          <cell r="D191">
            <v>0</v>
          </cell>
          <cell r="E191">
            <v>0</v>
          </cell>
          <cell r="F191">
            <v>0</v>
          </cell>
          <cell r="G191">
            <v>0</v>
          </cell>
          <cell r="H191">
            <v>0</v>
          </cell>
        </row>
        <row r="192">
          <cell r="A192">
            <v>192</v>
          </cell>
          <cell r="B192" t="str">
            <v>Reactor SCRAM Switches</v>
          </cell>
          <cell r="C192">
            <v>0</v>
          </cell>
          <cell r="D192">
            <v>0</v>
          </cell>
          <cell r="E192">
            <v>0</v>
          </cell>
          <cell r="F192">
            <v>0</v>
          </cell>
          <cell r="G192">
            <v>0</v>
          </cell>
          <cell r="H192">
            <v>0</v>
          </cell>
        </row>
        <row r="193">
          <cell r="A193">
            <v>193</v>
          </cell>
          <cell r="B193" t="str">
            <v>Condenser Demineralizer</v>
          </cell>
          <cell r="C193">
            <v>0</v>
          </cell>
          <cell r="D193">
            <v>341146.84350000008</v>
          </cell>
          <cell r="E193">
            <v>102361.78850000002</v>
          </cell>
          <cell r="F193">
            <v>16709.676375999996</v>
          </cell>
          <cell r="G193">
            <v>16709.676375999996</v>
          </cell>
          <cell r="H193">
            <v>460218.30837600009</v>
          </cell>
        </row>
        <row r="194">
          <cell r="A194">
            <v>194</v>
          </cell>
          <cell r="B194" t="str">
            <v>ECCS Suction Strainer Redesign at the BWRs</v>
          </cell>
          <cell r="C194">
            <v>53717.675472999996</v>
          </cell>
          <cell r="D194">
            <v>171291.24849999993</v>
          </cell>
          <cell r="E194">
            <v>42972.8675</v>
          </cell>
          <cell r="F194">
            <v>2555564.7782804999</v>
          </cell>
          <cell r="G194">
            <v>2555564.7782804999</v>
          </cell>
          <cell r="H194">
            <v>2823546.5697534997</v>
          </cell>
        </row>
        <row r="195">
          <cell r="A195">
            <v>195</v>
          </cell>
          <cell r="B195" t="str">
            <v>Installation of Filter Skids</v>
          </cell>
          <cell r="C195">
            <v>0</v>
          </cell>
          <cell r="D195">
            <v>0</v>
          </cell>
          <cell r="E195">
            <v>0</v>
          </cell>
          <cell r="F195">
            <v>0</v>
          </cell>
          <cell r="G195">
            <v>0</v>
          </cell>
          <cell r="H195">
            <v>0</v>
          </cell>
        </row>
        <row r="196">
          <cell r="A196">
            <v>196</v>
          </cell>
          <cell r="B196" t="str">
            <v>Reactor Water Cleanup (RWCU) System Upgrades at LaSalle</v>
          </cell>
          <cell r="C196">
            <v>12326985.85625145</v>
          </cell>
          <cell r="D196">
            <v>4442554.8064999981</v>
          </cell>
          <cell r="E196">
            <v>1183022.5914999994</v>
          </cell>
          <cell r="F196">
            <v>0</v>
          </cell>
          <cell r="G196">
            <v>0</v>
          </cell>
          <cell r="H196">
            <v>17952563.254251447</v>
          </cell>
        </row>
        <row r="197">
          <cell r="A197">
            <v>197</v>
          </cell>
          <cell r="B197" t="str">
            <v>Installation of Isolation Valves</v>
          </cell>
          <cell r="C197">
            <v>0</v>
          </cell>
          <cell r="D197">
            <v>0</v>
          </cell>
          <cell r="E197">
            <v>0</v>
          </cell>
          <cell r="F197">
            <v>0</v>
          </cell>
          <cell r="G197">
            <v>0</v>
          </cell>
          <cell r="H197">
            <v>0</v>
          </cell>
        </row>
        <row r="198">
          <cell r="A198">
            <v>198</v>
          </cell>
          <cell r="B198" t="str">
            <v>Installation of RHR Vacuum Breaker</v>
          </cell>
          <cell r="C198">
            <v>0</v>
          </cell>
          <cell r="D198">
            <v>0</v>
          </cell>
          <cell r="E198">
            <v>0</v>
          </cell>
          <cell r="F198">
            <v>0</v>
          </cell>
          <cell r="G198">
            <v>0</v>
          </cell>
          <cell r="H198">
            <v>0</v>
          </cell>
        </row>
        <row r="199">
          <cell r="A199">
            <v>199</v>
          </cell>
          <cell r="B199" t="str">
            <v>Reactor Recirculation Pump Seals</v>
          </cell>
          <cell r="C199">
            <v>0</v>
          </cell>
          <cell r="D199">
            <v>0</v>
          </cell>
          <cell r="E199">
            <v>0</v>
          </cell>
          <cell r="F199">
            <v>0</v>
          </cell>
          <cell r="G199">
            <v>0</v>
          </cell>
          <cell r="H199">
            <v>0</v>
          </cell>
        </row>
        <row r="200">
          <cell r="A200">
            <v>200</v>
          </cell>
          <cell r="B200" t="str">
            <v>Recirculation Pump Motor Rewind</v>
          </cell>
          <cell r="C200">
            <v>0</v>
          </cell>
          <cell r="D200">
            <v>0</v>
          </cell>
          <cell r="E200">
            <v>0</v>
          </cell>
          <cell r="F200">
            <v>0</v>
          </cell>
          <cell r="G200">
            <v>0</v>
          </cell>
          <cell r="H200">
            <v>0</v>
          </cell>
        </row>
        <row r="201">
          <cell r="A201">
            <v>201</v>
          </cell>
          <cell r="B201" t="str">
            <v>Reactor Recirc MG Set Brush Replacement at Quad Cities</v>
          </cell>
          <cell r="C201">
            <v>0</v>
          </cell>
          <cell r="D201">
            <v>0</v>
          </cell>
          <cell r="E201">
            <v>0</v>
          </cell>
          <cell r="F201">
            <v>0</v>
          </cell>
          <cell r="G201">
            <v>0</v>
          </cell>
          <cell r="H201">
            <v>0</v>
          </cell>
        </row>
        <row r="202">
          <cell r="A202">
            <v>202</v>
          </cell>
          <cell r="B202" t="str">
            <v>Reactivity Management</v>
          </cell>
          <cell r="C202">
            <v>0</v>
          </cell>
          <cell r="D202">
            <v>0</v>
          </cell>
          <cell r="E202">
            <v>0</v>
          </cell>
          <cell r="F202">
            <v>0</v>
          </cell>
          <cell r="G202">
            <v>0</v>
          </cell>
          <cell r="H202">
            <v>0</v>
          </cell>
        </row>
        <row r="203">
          <cell r="A203">
            <v>203</v>
          </cell>
          <cell r="B203" t="str">
            <v>Replacement of Safety Injection Accumulator Transmitter</v>
          </cell>
          <cell r="C203">
            <v>0</v>
          </cell>
          <cell r="D203">
            <v>0</v>
          </cell>
          <cell r="E203">
            <v>0</v>
          </cell>
          <cell r="F203">
            <v>535951.429</v>
          </cell>
          <cell r="G203">
            <v>535951.429</v>
          </cell>
          <cell r="H203">
            <v>535951.429</v>
          </cell>
        </row>
        <row r="204">
          <cell r="A204">
            <v>204</v>
          </cell>
          <cell r="B204" t="str">
            <v>Synchronous Condenser - Zion</v>
          </cell>
          <cell r="C204">
            <v>0</v>
          </cell>
          <cell r="D204">
            <v>0</v>
          </cell>
          <cell r="E204">
            <v>0</v>
          </cell>
          <cell r="F204">
            <v>0</v>
          </cell>
          <cell r="G204">
            <v>0</v>
          </cell>
          <cell r="H204">
            <v>0</v>
          </cell>
        </row>
        <row r="205">
          <cell r="A205">
            <v>205</v>
          </cell>
          <cell r="B205" t="str">
            <v>High Pressure Core Injection Gland Seal</v>
          </cell>
          <cell r="C205">
            <v>0</v>
          </cell>
          <cell r="D205">
            <v>0</v>
          </cell>
          <cell r="E205">
            <v>0</v>
          </cell>
          <cell r="F205">
            <v>0</v>
          </cell>
          <cell r="G205">
            <v>0</v>
          </cell>
          <cell r="H205">
            <v>0</v>
          </cell>
        </row>
        <row r="206">
          <cell r="A206">
            <v>206</v>
          </cell>
          <cell r="B206" t="str">
            <v>Replacement of Valves</v>
          </cell>
          <cell r="C206">
            <v>0</v>
          </cell>
          <cell r="D206">
            <v>0</v>
          </cell>
          <cell r="E206">
            <v>0</v>
          </cell>
          <cell r="F206">
            <v>0</v>
          </cell>
          <cell r="G206">
            <v>0</v>
          </cell>
          <cell r="H206">
            <v>0</v>
          </cell>
        </row>
        <row r="207">
          <cell r="A207">
            <v>207</v>
          </cell>
          <cell r="B207" t="str">
            <v>Replacement of Valves</v>
          </cell>
          <cell r="C207">
            <v>0</v>
          </cell>
          <cell r="D207">
            <v>0</v>
          </cell>
          <cell r="E207">
            <v>0</v>
          </cell>
          <cell r="F207">
            <v>0</v>
          </cell>
          <cell r="G207">
            <v>0</v>
          </cell>
          <cell r="H207">
            <v>0</v>
          </cell>
        </row>
        <row r="208">
          <cell r="A208">
            <v>208</v>
          </cell>
          <cell r="B208" t="str">
            <v>Primary Containment Drain</v>
          </cell>
          <cell r="C208">
            <v>0</v>
          </cell>
          <cell r="D208">
            <v>0</v>
          </cell>
          <cell r="E208">
            <v>0</v>
          </cell>
          <cell r="F208">
            <v>0</v>
          </cell>
          <cell r="G208">
            <v>0</v>
          </cell>
          <cell r="H208">
            <v>0</v>
          </cell>
        </row>
        <row r="209">
          <cell r="A209">
            <v>209</v>
          </cell>
          <cell r="B209" t="str">
            <v>Managed Task to Support L1RO8</v>
          </cell>
          <cell r="C209">
            <v>0</v>
          </cell>
          <cell r="D209">
            <v>0</v>
          </cell>
          <cell r="E209">
            <v>0</v>
          </cell>
          <cell r="F209">
            <v>0</v>
          </cell>
          <cell r="G209">
            <v>0</v>
          </cell>
          <cell r="H209">
            <v>0</v>
          </cell>
        </row>
        <row r="210">
          <cell r="A210">
            <v>300</v>
          </cell>
          <cell r="B210" t="str">
            <v>Plant Completion</v>
          </cell>
          <cell r="C210">
            <v>2454314.658735496</v>
          </cell>
          <cell r="D210">
            <v>0</v>
          </cell>
          <cell r="E210">
            <v>0</v>
          </cell>
          <cell r="F210">
            <v>0</v>
          </cell>
          <cell r="G210">
            <v>-2454314.658735496</v>
          </cell>
          <cell r="H210">
            <v>0</v>
          </cell>
        </row>
        <row r="211">
          <cell r="A211">
            <v>301</v>
          </cell>
          <cell r="B211" t="str">
            <v>Reactor Coolant Sampling System</v>
          </cell>
          <cell r="C211">
            <v>0</v>
          </cell>
          <cell r="D211">
            <v>0</v>
          </cell>
          <cell r="E211">
            <v>0</v>
          </cell>
          <cell r="F211">
            <v>0</v>
          </cell>
          <cell r="G211">
            <v>0</v>
          </cell>
          <cell r="H211">
            <v>0</v>
          </cell>
        </row>
        <row r="212">
          <cell r="A212">
            <v>302</v>
          </cell>
          <cell r="B212" t="str">
            <v>Pending Approval</v>
          </cell>
          <cell r="C212">
            <v>8475570.122739451</v>
          </cell>
          <cell r="D212">
            <v>0</v>
          </cell>
          <cell r="E212">
            <v>0</v>
          </cell>
          <cell r="F212">
            <v>0</v>
          </cell>
          <cell r="G212">
            <v>-8475570.122739451</v>
          </cell>
          <cell r="H212">
            <v>0</v>
          </cell>
        </row>
        <row r="213">
          <cell r="B213" t="str">
            <v>TOTALS</v>
          </cell>
          <cell r="C213">
            <v>281161727.89774144</v>
          </cell>
          <cell r="D213">
            <v>9719738.4119999986</v>
          </cell>
          <cell r="E213">
            <v>7087633.8275862504</v>
          </cell>
          <cell r="F213">
            <v>10929884.781474996</v>
          </cell>
          <cell r="G213">
            <v>5.029141902923584E-8</v>
          </cell>
          <cell r="H213">
            <v>297969100.13732791</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apEx (By VP By Dept) Budg"/>
      <sheetName val="2005 ComEd CapEx (By Dept) Budg"/>
      <sheetName val="Calculations"/>
      <sheetName val="Calculations Prior year"/>
      <sheetName val="DCF - Alcar LE"/>
      <sheetName val="DCF - Alcar Budget"/>
      <sheetName val="nVision"/>
      <sheetName val="Masterdata"/>
      <sheetName val="Rev_Req"/>
      <sheetName val="TFI use"/>
      <sheetName val="#REF"/>
      <sheetName val="2nd qtr 2000"/>
      <sheetName val="SETUP"/>
      <sheetName val="Database"/>
      <sheetName val="Ry"/>
      <sheetName val="2005 Amortization "/>
      <sheetName val="PECO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mplate"/>
      <sheetName val="Administrator"/>
      <sheetName val="RNF Mini"/>
      <sheetName val="Data"/>
      <sheetName val="6 (3)"/>
      <sheetName val="6 (4)"/>
      <sheetName val="6 (5)"/>
      <sheetName val="Bridge Plan to Actual"/>
      <sheetName val="2005F vs. 2004A"/>
      <sheetName val="EFC 2004 Actual"/>
      <sheetName val="Accuracy Tracker"/>
      <sheetName val="Elec_Accuracy Tracker"/>
      <sheetName val="Gas_Accuracy Tracker"/>
      <sheetName val="ElecCustomers"/>
      <sheetName val="ElecSales"/>
      <sheetName val="ElecRevenue"/>
      <sheetName val="ElecRates"/>
      <sheetName val="ElecPPA Volume"/>
      <sheetName val="ElecPPA Expense"/>
      <sheetName val="ElecTrans Other"/>
      <sheetName val="GasRevenue"/>
      <sheetName val="GasSales"/>
      <sheetName val="GasRates"/>
      <sheetName val="GasCustomers"/>
      <sheetName val="Gas &quot;Current LE&quot;"/>
      <sheetName val="Gas Net Actuals 05"/>
      <sheetName val="Weather Impact on Ele 04"/>
      <sheetName val="Weather Impact on Gas 04"/>
      <sheetName val="Weather Impact on Ele 05"/>
      <sheetName val="Weather Impact on Gas 05"/>
      <sheetName val="Electric &quot;Current LE&quot;"/>
      <sheetName val="2005 Budget RNF"/>
      <sheetName val="2005 Net Actuals"/>
      <sheetName val="Gas Net Budget 05"/>
      <sheetName val="Gas Net Actuals 04"/>
      <sheetName val="Electric Output - Input"/>
      <sheetName val="Electric Customer Trend"/>
      <sheetName val="2005 Budget PPA"/>
      <sheetName val="T+5"/>
      <sheetName val="Actual PPA Blocks"/>
      <sheetName val="WA PPA Blocks"/>
      <sheetName val="Actual Zone Blocks"/>
      <sheetName val="WA Zone Blocks"/>
      <sheetName val="Data_LE"/>
      <sheetName val="Gas 2004"/>
      <sheetName val="2004 Net Actuals"/>
      <sheetName val="Power Purch Actual"/>
      <sheetName val="EFC Actuals Calc"/>
      <sheetName val="1-11 LE"/>
      <sheetName val="WC Retail Sendout"/>
      <sheetName val="2005 Act"/>
      <sheetName val="Gas Net Budget 04"/>
      <sheetName val="PJM Bill"/>
      <sheetName val="HDD-CDH"/>
      <sheetName val="Gas Sendout"/>
      <sheetName val="2005 gas thru-put Budget"/>
      <sheetName val="Gas Customer"/>
      <sheetName val="Electric Customers - Input"/>
      <sheetName val="Gas cust budget &amp; '04"/>
      <sheetName val="EFC 2005 Budget"/>
    </sheetNames>
    <sheetDataSet>
      <sheetData sheetId="0" refreshError="1"/>
      <sheetData sheetId="1" refreshError="1"/>
      <sheetData sheetId="2" refreshError="1">
        <row r="60">
          <cell r="I60">
            <v>4</v>
          </cell>
          <cell r="J60">
            <v>19</v>
          </cell>
          <cell r="L60">
            <v>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persons/person.xml><?xml version="1.0" encoding="utf-8"?>
<personList xmlns="http://schemas.microsoft.com/office/spreadsheetml/2018/threadedcomments" xmlns:x="http://schemas.openxmlformats.org/spreadsheetml/2006/main">
  <person displayName="Zerbe, Christopher" id="{F1B857A8-3A4D-4AEA-8B13-80DD00297922}" userId="S::55584@icf.com::e69d3a90-dfb1-485f-9329-4f788fb797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3-09-18T10:45:34.97" personId="{F1B857A8-3A4D-4AEA-8B13-80DD00297922}" id="{B3E47C3B-554E-4FA0-9791-B054ADB93643}">
    <text>David confirmed Behavioral merger fund budget via email, manually added</text>
  </threadedComment>
  <threadedComment ref="C5" dT="2023-09-18T10:48:19.28" personId="{F1B857A8-3A4D-4AEA-8B13-80DD00297922}" id="{C38807D1-F57C-45BD-A61A-2231DEC573A8}">
    <text>According to David Pirtle (Behavioral) and Bryan Kelly (QHEC) all merger funds were exhausted in PY2. Bryan stated that all QHEC merger funds went through incentive spend</text>
  </threadedComment>
  <threadedComment ref="D5" dT="2023-09-23T21:05:41.50" personId="{F1B857A8-3A4D-4AEA-8B13-80DD00297922}" id="{2DE90184-116B-4D2D-A635-838C638B9EA1}">
    <text>Behavioral Q1 &amp; Q2 manually added</text>
  </threadedComment>
  <threadedComment ref="E5" dT="2023-09-23T21:06:06.30" personId="{F1B857A8-3A4D-4AEA-8B13-80DD00297922}" id="{2CD70DE1-A2FF-49B0-8A3D-56273D54E916}">
    <text>Behavioral Q1 &amp; Q2 manually added</text>
  </threadedComment>
  <threadedComment ref="F5" dT="2023-09-23T21:06:19.19" personId="{F1B857A8-3A4D-4AEA-8B13-80DD00297922}" id="{BBF28651-DC74-44F2-8FAA-3F4230C81283}">
    <text>Behavioral Q1 &amp; Q2 manually added</text>
  </threadedComment>
  <threadedComment ref="G5" dT="2023-09-18T10:40:00.41" personId="{F1B857A8-3A4D-4AEA-8B13-80DD00297922}" id="{B241B868-0E6D-4F2A-87A8-724E638F19DD}">
    <text>Only showing therms saved for QHEC. Behavioral has no gas savings</text>
  </threadedComment>
  <threadedComment ref="H5" dT="2023-09-18T10:40:16.48" personId="{F1B857A8-3A4D-4AEA-8B13-80DD00297922}" id="{562A44C5-2E8F-4AA5-8FD3-53E3882DD7CA}">
    <text>Only showing therms saved for QHEC. Behavioral has no gas savings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9145-E677-47C3-88C1-E510F06FB619}">
  <sheetPr>
    <tabColor rgb="FFFFFF00"/>
  </sheetPr>
  <dimension ref="A1:M31"/>
  <sheetViews>
    <sheetView showGridLines="0" zoomScale="90" zoomScaleNormal="90" workbookViewId="0">
      <selection activeCell="C35" sqref="C35"/>
    </sheetView>
  </sheetViews>
  <sheetFormatPr defaultRowHeight="15"/>
  <cols>
    <col min="1" max="1" width="16.5703125" customWidth="1"/>
    <col min="2" max="2" width="16.28515625" customWidth="1"/>
    <col min="3" max="3" width="34.7109375" bestFit="1" customWidth="1"/>
    <col min="4" max="4" width="34.42578125" customWidth="1"/>
    <col min="5" max="5" width="20" customWidth="1"/>
    <col min="6" max="6" width="15.7109375" customWidth="1"/>
    <col min="7" max="7" width="16.5703125" customWidth="1"/>
    <col min="8" max="8" width="15.28515625" customWidth="1"/>
    <col min="9" max="9" width="11" customWidth="1"/>
    <col min="10" max="10" width="11.7109375" customWidth="1"/>
    <col min="11" max="11" width="11.42578125" customWidth="1"/>
    <col min="12" max="12" width="12.42578125" customWidth="1"/>
    <col min="13" max="13" width="13.42578125" customWidth="1"/>
    <col min="15" max="15" width="34.7109375" customWidth="1"/>
  </cols>
  <sheetData>
    <row r="1" spans="1:13" ht="23.1" customHeight="1">
      <c r="A1" t="s">
        <v>0</v>
      </c>
      <c r="B1" s="9" t="s">
        <v>1</v>
      </c>
    </row>
    <row r="2" spans="1:13">
      <c r="A2" s="894" t="s">
        <v>2</v>
      </c>
      <c r="B2" s="894"/>
      <c r="C2" s="895"/>
      <c r="D2" s="893"/>
      <c r="E2" s="203" t="s">
        <v>3</v>
      </c>
      <c r="F2" s="896" t="s">
        <v>4</v>
      </c>
      <c r="G2" s="897"/>
      <c r="H2" s="898"/>
      <c r="I2" s="899" t="s">
        <v>5</v>
      </c>
      <c r="J2" s="900"/>
      <c r="K2" s="900"/>
      <c r="L2" s="900"/>
      <c r="M2" s="901"/>
    </row>
    <row r="3" spans="1:13" ht="75">
      <c r="A3" s="204" t="s">
        <v>6</v>
      </c>
      <c r="B3" s="205" t="s">
        <v>7</v>
      </c>
      <c r="C3" s="206" t="s">
        <v>8</v>
      </c>
      <c r="D3" s="206" t="s">
        <v>9</v>
      </c>
      <c r="E3" s="207" t="s">
        <v>10</v>
      </c>
      <c r="F3" s="208" t="s">
        <v>11</v>
      </c>
      <c r="G3" s="208" t="s">
        <v>12</v>
      </c>
      <c r="H3" s="208" t="s">
        <v>13</v>
      </c>
      <c r="I3" s="209" t="s">
        <v>14</v>
      </c>
      <c r="J3" s="209" t="s">
        <v>15</v>
      </c>
      <c r="K3" s="210" t="s">
        <v>16</v>
      </c>
      <c r="L3" s="210" t="s">
        <v>17</v>
      </c>
      <c r="M3" s="210" t="s">
        <v>18</v>
      </c>
    </row>
    <row r="4" spans="1:13">
      <c r="A4" s="211" t="s">
        <v>19</v>
      </c>
      <c r="B4" s="212" t="s">
        <v>20</v>
      </c>
      <c r="C4" s="211" t="s">
        <v>21</v>
      </c>
      <c r="D4" s="213" t="s">
        <v>22</v>
      </c>
      <c r="E4" s="211">
        <f>'Ap B - Qtr Electric Master'!$F$8</f>
        <v>953</v>
      </c>
      <c r="F4" s="215"/>
      <c r="G4" s="216">
        <f>SUM(' Ap C - Qtr Electric LMI'!$F$8:$G$8)</f>
        <v>390.95</v>
      </c>
      <c r="H4" s="216">
        <f>'Ap B - Qtr Electric Master'!$J$8</f>
        <v>2267.99334</v>
      </c>
      <c r="I4" s="217">
        <f>'Ap B - Qtr Electric Master'!$N$8</f>
        <v>269.68432109999998</v>
      </c>
      <c r="J4" s="217">
        <f>'Ap B - Qtr Electric Master'!$S$8</f>
        <v>4186.2622201000004</v>
      </c>
      <c r="K4" s="330">
        <f>'Ap B - Qtr Electric Master'!$Q$8</f>
        <v>0.171311993</v>
      </c>
      <c r="L4" s="13"/>
      <c r="M4" s="13"/>
    </row>
    <row r="5" spans="1:13">
      <c r="A5" s="211" t="s">
        <v>19</v>
      </c>
      <c r="B5" s="212" t="s">
        <v>20</v>
      </c>
      <c r="C5" s="211" t="s">
        <v>21</v>
      </c>
      <c r="D5" s="213" t="s">
        <v>23</v>
      </c>
      <c r="E5" s="211">
        <f>'Ap B - Qtr Electric Master'!$F$9</f>
        <v>1150</v>
      </c>
      <c r="F5" s="215"/>
      <c r="G5" s="216"/>
      <c r="H5" s="216">
        <f>'Ap B - Qtr Electric Master'!$J$9</f>
        <v>389.2518</v>
      </c>
      <c r="I5" s="217">
        <f>'Ap B - Qtr Electric Master'!$N$9</f>
        <v>100.17304129999999</v>
      </c>
      <c r="J5" s="217">
        <f>'Ap B - Qtr Electric Master'!$S$9</f>
        <v>1209.604566</v>
      </c>
      <c r="K5" s="330">
        <f>'Ap B - Qtr Electric Master'!$Q$9</f>
        <v>1.2177385000000001E-2</v>
      </c>
      <c r="L5" s="13"/>
      <c r="M5" s="13"/>
    </row>
    <row r="6" spans="1:13">
      <c r="A6" s="211" t="s">
        <v>19</v>
      </c>
      <c r="B6" s="212" t="s">
        <v>20</v>
      </c>
      <c r="C6" s="211" t="s">
        <v>21</v>
      </c>
      <c r="D6" s="213" t="s">
        <v>24</v>
      </c>
      <c r="E6" s="211">
        <f>'Ap B - Qtr Electric Master'!$F$10</f>
        <v>356</v>
      </c>
      <c r="F6" s="215"/>
      <c r="G6" s="216"/>
      <c r="H6" s="216">
        <f>'Ap B - Qtr Electric Master'!$J$10</f>
        <v>208.68491</v>
      </c>
      <c r="I6" s="217">
        <f>'Ap B - Qtr Electric Master'!$N$10</f>
        <v>316.447</v>
      </c>
      <c r="J6" s="217">
        <f>'Ap B - Qtr Electric Master'!$S$10</f>
        <v>1504.317</v>
      </c>
      <c r="K6" s="330">
        <f>'Ap B - Qtr Electric Master'!$Q$10</f>
        <v>6.4706E-2</v>
      </c>
      <c r="L6" s="13"/>
      <c r="M6" s="13"/>
    </row>
    <row r="7" spans="1:13">
      <c r="A7" s="211" t="s">
        <v>19</v>
      </c>
      <c r="B7" s="212" t="s">
        <v>20</v>
      </c>
      <c r="C7" s="211" t="s">
        <v>21</v>
      </c>
      <c r="D7" s="213" t="s">
        <v>25</v>
      </c>
      <c r="E7" s="211">
        <f>'Ap B - Qtr Electric Master'!$F$11</f>
        <v>487</v>
      </c>
      <c r="F7" s="215"/>
      <c r="G7" s="216"/>
      <c r="H7" s="216">
        <f>'Ap B - Qtr Electric Master'!$J$11</f>
        <v>114.67108</v>
      </c>
      <c r="I7" s="990">
        <f>'Ap B - Qtr Electric Master'!$N$11</f>
        <v>77.280990000000003</v>
      </c>
      <c r="J7" s="990">
        <f>'Ap B - Qtr Electric Master'!$S$11</f>
        <v>580.07002499999999</v>
      </c>
      <c r="K7" s="991">
        <f>'Ap B - Qtr Electric Master'!$Q$11</f>
        <v>1.3200000000000001E-4</v>
      </c>
      <c r="L7" s="13"/>
      <c r="M7" s="13"/>
    </row>
    <row r="8" spans="1:13">
      <c r="A8" s="211" t="s">
        <v>19</v>
      </c>
      <c r="B8" s="212" t="s">
        <v>20</v>
      </c>
      <c r="C8" s="211" t="s">
        <v>21</v>
      </c>
      <c r="D8" s="213" t="s">
        <v>26</v>
      </c>
      <c r="E8" s="211">
        <f>'Ap B - Qtr Electric Master'!$F$12</f>
        <v>800</v>
      </c>
      <c r="F8" s="215"/>
      <c r="G8" s="216">
        <f>SUM(' Ap C - Qtr Electric LMI'!$F$9:$G$9)</f>
        <v>22.167999999999999</v>
      </c>
      <c r="H8" s="216">
        <f>'Ap B - Qtr Electric Master'!$J$12</f>
        <v>0</v>
      </c>
      <c r="I8" s="217">
        <f>'Ap B - Qtr Electric Master'!$N$12</f>
        <v>216.35939200000001</v>
      </c>
      <c r="J8" s="217">
        <f>'Ap B - Qtr Electric Master'!$S$12</f>
        <v>2669.7108800000001</v>
      </c>
      <c r="K8" s="330">
        <f>'Ap B - Qtr Electric Master'!$Q$12</f>
        <v>1.965312E-2</v>
      </c>
      <c r="L8" s="13"/>
      <c r="M8" s="13"/>
    </row>
    <row r="9" spans="1:13">
      <c r="A9" s="211" t="s">
        <v>19</v>
      </c>
      <c r="B9" s="212" t="s">
        <v>20</v>
      </c>
      <c r="C9" s="211" t="s">
        <v>21</v>
      </c>
      <c r="D9" s="222" t="s">
        <v>27</v>
      </c>
      <c r="E9" s="223">
        <f>'Ap B - Qtr Electric Master'!$F$13</f>
        <v>8419</v>
      </c>
      <c r="F9" s="215"/>
      <c r="G9" s="216">
        <f>SUM(' Ap C - Qtr Electric LMI'!$F$10:$G$10)</f>
        <v>155.85599999999999</v>
      </c>
      <c r="H9" s="216">
        <f>'Ap B - Qtr Electric Master'!$J$13</f>
        <v>57.084489999999903</v>
      </c>
      <c r="I9" s="217">
        <f>'Ap B - Qtr Electric Master'!$N$13</f>
        <v>1308.3019973</v>
      </c>
      <c r="J9" s="217">
        <f>'Ap B - Qtr Electric Master'!$S$13</f>
        <v>19624.5299595</v>
      </c>
      <c r="K9" s="330">
        <f>'Ap B - Qtr Electric Master'!$Q$13</f>
        <v>9.8065673000000006E-2</v>
      </c>
      <c r="L9" s="13"/>
      <c r="M9" s="13"/>
    </row>
    <row r="10" spans="1:13">
      <c r="A10" s="211" t="s">
        <v>19</v>
      </c>
      <c r="B10" s="212" t="s">
        <v>20</v>
      </c>
      <c r="C10" s="211" t="s">
        <v>21</v>
      </c>
      <c r="D10" s="213"/>
      <c r="E10" s="214"/>
      <c r="F10" s="411">
        <f>'Ap B - Qtr Electric Master'!$I$14</f>
        <v>5012.5690000000004</v>
      </c>
      <c r="G10" s="412"/>
      <c r="H10" s="412"/>
      <c r="I10" s="217"/>
      <c r="J10" s="217"/>
      <c r="K10" s="330"/>
      <c r="L10" s="13"/>
      <c r="M10" s="13"/>
    </row>
    <row r="11" spans="1:13">
      <c r="A11" s="211" t="s">
        <v>19</v>
      </c>
      <c r="B11" s="212" t="s">
        <v>20</v>
      </c>
      <c r="C11" s="211" t="s">
        <v>28</v>
      </c>
      <c r="D11" s="213" t="s">
        <v>29</v>
      </c>
      <c r="E11" s="214">
        <f>'Ap B - Qtr Electric Master'!$F$15</f>
        <v>40</v>
      </c>
      <c r="F11" s="411">
        <f>'Ap B - Qtr Electric Master'!$I$15</f>
        <v>2223.7649999999999</v>
      </c>
      <c r="G11" s="412">
        <f>SUM(' Ap C - Qtr Electric LMI'!$F$11:$G$11)</f>
        <v>168.33799999999999</v>
      </c>
      <c r="H11" s="412">
        <f>'Ap B - Qtr Electric Master'!$J$15</f>
        <v>313.34451000000001</v>
      </c>
      <c r="I11" s="217">
        <f>'Ap B - Qtr Electric Master'!$N$15</f>
        <v>27.798665100000001</v>
      </c>
      <c r="J11" s="217">
        <f>'Ap B - Qtr Electric Master'!$S$15</f>
        <v>511.10309169999999</v>
      </c>
      <c r="K11" s="330">
        <f>'Ap B - Qtr Electric Master'!$Q$15</f>
        <v>1.0341672E-2</v>
      </c>
      <c r="L11" s="13"/>
      <c r="M11" s="13"/>
    </row>
    <row r="12" spans="1:13">
      <c r="A12" s="211" t="s">
        <v>19</v>
      </c>
      <c r="B12" s="212" t="s">
        <v>20</v>
      </c>
      <c r="C12" s="211" t="s">
        <v>28</v>
      </c>
      <c r="D12" s="213" t="s">
        <v>30</v>
      </c>
      <c r="E12" s="214">
        <f>'Ap B - Qtr Electric Master'!$F$16</f>
        <v>2410</v>
      </c>
      <c r="F12" s="411">
        <f>'Ap B - Qtr Electric Master'!$I$16</f>
        <v>3681.07</v>
      </c>
      <c r="G12" s="412">
        <f>SUM(' Ap C - Qtr Electric LMI'!$F$12:$G$12)</f>
        <v>678.24299999999994</v>
      </c>
      <c r="H12" s="412">
        <f>'Ap B - Qtr Electric Master'!$J$16</f>
        <v>607.29862000000003</v>
      </c>
      <c r="I12" s="217">
        <f>'Ap B - Qtr Electric Master'!$N$16</f>
        <v>1414.883572</v>
      </c>
      <c r="J12" s="217">
        <f>'Ap B - Qtr Electric Master'!$S$16</f>
        <v>18325.96240280287</v>
      </c>
      <c r="K12" s="330">
        <f>'Ap B - Qtr Electric Master'!$Q$16</f>
        <v>9.2298694000000001E-2</v>
      </c>
      <c r="L12" s="13"/>
      <c r="M12" s="13"/>
    </row>
    <row r="13" spans="1:13">
      <c r="A13" s="211" t="s">
        <v>19</v>
      </c>
      <c r="B13" s="212" t="s">
        <v>20</v>
      </c>
      <c r="C13" s="211" t="s">
        <v>28</v>
      </c>
      <c r="D13" s="213" t="s">
        <v>31</v>
      </c>
      <c r="E13" s="214">
        <f>'Ap B - Qtr Electric Master'!$F$17</f>
        <v>0</v>
      </c>
      <c r="F13" s="411">
        <f>'Ap B - Qtr Electric Master'!$I$17</f>
        <v>4214.8360000000002</v>
      </c>
      <c r="G13" s="412">
        <f>SUM(' Ap C - Qtr Electric LMI'!$F$13:$G$13)</f>
        <v>240.23699999999999</v>
      </c>
      <c r="H13" s="412">
        <f>'Ap B - Qtr Electric Master'!$J$17</f>
        <v>268.88329999999996</v>
      </c>
      <c r="I13" s="217">
        <f>'Ap B - Qtr Electric Master'!$N$17</f>
        <v>0</v>
      </c>
      <c r="J13" s="217">
        <f>'Ap B - Qtr Electric Master'!$S$17</f>
        <v>0</v>
      </c>
      <c r="K13" s="330">
        <f>'Ap B - Qtr Electric Master'!$Q$17</f>
        <v>0</v>
      </c>
      <c r="L13" s="13"/>
      <c r="M13" s="13"/>
    </row>
    <row r="14" spans="1:13">
      <c r="A14" s="211" t="s">
        <v>19</v>
      </c>
      <c r="B14" s="212" t="s">
        <v>20</v>
      </c>
      <c r="C14" s="211" t="s">
        <v>32</v>
      </c>
      <c r="D14" s="213" t="s">
        <v>33</v>
      </c>
      <c r="E14" s="988">
        <f>'Ap B - Qtr Electric Master'!$F$18</f>
        <v>234834</v>
      </c>
      <c r="F14" s="411">
        <f>'Ap B - Qtr Electric Master'!$I$18</f>
        <v>1221.1579999999999</v>
      </c>
      <c r="G14" s="412">
        <f>SUM(' Ap C - Qtr Electric LMI'!$F$14:$G$14)</f>
        <v>141.04503099999999</v>
      </c>
      <c r="H14" s="412">
        <f>'Ap B - Qtr Electric Master'!$J$18</f>
        <v>175.34370999999899</v>
      </c>
      <c r="I14" s="217">
        <f>'Ap B - Qtr Electric Master'!$N$18</f>
        <v>1056.5380010200001</v>
      </c>
      <c r="J14" s="217">
        <f>'Ap B - Qtr Electric Master'!$S$18</f>
        <v>1178.0398711373002</v>
      </c>
      <c r="K14" s="330">
        <f>'Ap B - Qtr Electric Master'!$Q$18</f>
        <v>1.0017040766249998</v>
      </c>
      <c r="L14" s="13"/>
      <c r="M14" s="13"/>
    </row>
    <row r="15" spans="1:13">
      <c r="A15" s="211" t="s">
        <v>19</v>
      </c>
      <c r="B15" s="212" t="s">
        <v>34</v>
      </c>
      <c r="C15" s="211" t="s">
        <v>35</v>
      </c>
      <c r="D15" s="213" t="s">
        <v>35</v>
      </c>
      <c r="E15" s="214">
        <f>'Ap B - Qtr Electric Master'!$F$22</f>
        <v>15</v>
      </c>
      <c r="F15" s="411">
        <f>'Ap B - Qtr Electric Master'!$I$22</f>
        <v>8648.4900000000016</v>
      </c>
      <c r="G15" s="993">
        <f>' Ap D - Qtr Electric Business'!F8</f>
        <v>806.44299999999998</v>
      </c>
      <c r="H15" s="412">
        <f>'Ap B - Qtr Electric Master'!$J$22</f>
        <v>1338.45233999999</v>
      </c>
      <c r="I15" s="217">
        <f>'Ap B - Qtr Electric Master'!$N$22</f>
        <v>674</v>
      </c>
      <c r="J15" s="217">
        <f>'Ap B - Qtr Electric Master'!$S$22</f>
        <v>10003</v>
      </c>
      <c r="K15" s="330">
        <f>'Ap B - Qtr Electric Master'!$Q$22</f>
        <v>0.11799999999999999</v>
      </c>
      <c r="L15" s="13"/>
      <c r="M15" s="13"/>
    </row>
    <row r="16" spans="1:13">
      <c r="A16" s="211" t="s">
        <v>19</v>
      </c>
      <c r="B16" s="212" t="s">
        <v>34</v>
      </c>
      <c r="C16" s="211" t="s">
        <v>36</v>
      </c>
      <c r="D16" s="213" t="s">
        <v>37</v>
      </c>
      <c r="E16" s="214">
        <f>'Ap B - Qtr Electric Master'!$F$23</f>
        <v>67</v>
      </c>
      <c r="F16" s="411">
        <f>'Ap B - Qtr Electric Master'!$I$23</f>
        <v>7783.433</v>
      </c>
      <c r="G16" s="989">
        <f>SUM(' Ap D - Qtr Electric Business'!$F$9:$G$9)</f>
        <v>582.20400000000006</v>
      </c>
      <c r="H16" s="412">
        <f>'Ap B - Qtr Electric Master'!$J$23</f>
        <v>1000.34588</v>
      </c>
      <c r="I16" s="217">
        <f>'Ap B - Qtr Electric Master'!$N$23</f>
        <v>3493.1683558</v>
      </c>
      <c r="J16" s="217">
        <f>'Ap B - Qtr Electric Master'!$S$23</f>
        <v>51028.0239</v>
      </c>
      <c r="K16" s="330">
        <f>'Ap B - Qtr Electric Master'!$Q$23</f>
        <v>0.45032</v>
      </c>
      <c r="L16" s="13"/>
      <c r="M16" s="13"/>
    </row>
    <row r="17" spans="1:13">
      <c r="A17" s="211" t="s">
        <v>19</v>
      </c>
      <c r="B17" s="212" t="s">
        <v>34</v>
      </c>
      <c r="C17" s="211" t="s">
        <v>36</v>
      </c>
      <c r="D17" s="213" t="s">
        <v>38</v>
      </c>
      <c r="E17" s="214">
        <f>'Ap B - Qtr Electric Master'!$F$24</f>
        <v>1</v>
      </c>
      <c r="F17" s="411">
        <f>'Ap B - Qtr Electric Master'!$I$24</f>
        <v>279.64699999999999</v>
      </c>
      <c r="G17" s="989">
        <f>SUM(' Ap D - Qtr Electric Business'!$F$10:$G$10)</f>
        <v>112.068</v>
      </c>
      <c r="H17" s="412">
        <f>'Ap B - Qtr Electric Master'!$J$24</f>
        <v>193.23909</v>
      </c>
      <c r="I17" s="217">
        <f>'Ap B - Qtr Electric Master'!$N$24</f>
        <v>319</v>
      </c>
      <c r="J17" s="217">
        <f>'Ap B - Qtr Electric Master'!$S$24</f>
        <v>1595</v>
      </c>
      <c r="K17" s="330">
        <f>'Ap B - Qtr Electric Master'!$Q$24</f>
        <v>0</v>
      </c>
      <c r="L17" s="13"/>
      <c r="M17" s="13"/>
    </row>
    <row r="18" spans="1:13">
      <c r="A18" s="211" t="s">
        <v>19</v>
      </c>
      <c r="B18" s="212" t="s">
        <v>34</v>
      </c>
      <c r="C18" s="211" t="s">
        <v>36</v>
      </c>
      <c r="D18" s="213" t="s">
        <v>39</v>
      </c>
      <c r="E18" s="214">
        <f>'Ap B - Qtr Electric Master'!$F$25</f>
        <v>0</v>
      </c>
      <c r="F18" s="411">
        <f>'Ap B - Qtr Electric Master'!$I$25</f>
        <v>1146.1969999999999</v>
      </c>
      <c r="G18" s="412">
        <f>SUM(' Ap D - Qtr Electric Business'!$F$11:$G$11)</f>
        <v>0</v>
      </c>
      <c r="H18" s="412">
        <f>'Ap B - Qtr Electric Master'!$J$25</f>
        <v>259.05601000000001</v>
      </c>
      <c r="I18" s="217">
        <f>'Ap B - Qtr Electric Master'!$N$25</f>
        <v>0</v>
      </c>
      <c r="J18" s="217">
        <f>'Ap B - Qtr Electric Master'!$S$25</f>
        <v>0</v>
      </c>
      <c r="K18" s="330">
        <f>'Ap B - Qtr Electric Master'!$Q$25</f>
        <v>0</v>
      </c>
      <c r="L18" s="13"/>
      <c r="M18" s="13"/>
    </row>
    <row r="19" spans="1:13">
      <c r="A19" s="211" t="s">
        <v>19</v>
      </c>
      <c r="B19" s="212" t="s">
        <v>40</v>
      </c>
      <c r="C19" s="211" t="s">
        <v>40</v>
      </c>
      <c r="D19" s="213" t="s">
        <v>29</v>
      </c>
      <c r="E19" s="214">
        <f>'Ap B - Qtr Electric Master'!$F$28</f>
        <v>0</v>
      </c>
      <c r="F19" s="411"/>
      <c r="G19" s="412">
        <f>SUM(' Ap C - Qtr Electric LMI'!$F$17:$G$17)</f>
        <v>0</v>
      </c>
      <c r="H19" s="412"/>
      <c r="I19" s="217">
        <f>'Ap B - Qtr Electric Master'!$N$28</f>
        <v>0</v>
      </c>
      <c r="J19" s="217">
        <f>'Ap B - Qtr Electric Master'!$S$28</f>
        <v>0</v>
      </c>
      <c r="K19" s="330">
        <f>'Ap B - Qtr Electric Master'!$Q$28</f>
        <v>0</v>
      </c>
      <c r="L19" s="13"/>
      <c r="M19" s="13"/>
    </row>
    <row r="20" spans="1:13">
      <c r="A20" s="211" t="s">
        <v>19</v>
      </c>
      <c r="B20" s="212" t="s">
        <v>40</v>
      </c>
      <c r="C20" s="211" t="s">
        <v>40</v>
      </c>
      <c r="D20" s="213" t="s">
        <v>35</v>
      </c>
      <c r="E20" s="214">
        <f>'Ap B - Qtr Electric Master'!$F$29</f>
        <v>0</v>
      </c>
      <c r="F20" s="411"/>
      <c r="G20" s="412">
        <f>SUM(' Ap C - Qtr Electric LMI'!$F$18:$G$18)</f>
        <v>0</v>
      </c>
      <c r="H20" s="412"/>
      <c r="I20" s="217">
        <f>'Ap B - Qtr Electric Master'!$N$29</f>
        <v>0</v>
      </c>
      <c r="J20" s="217">
        <f>'Ap B - Qtr Electric Master'!$S$29</f>
        <v>0</v>
      </c>
      <c r="K20" s="330">
        <f>'Ap B - Qtr Electric Master'!$Q$29</f>
        <v>0</v>
      </c>
      <c r="L20" s="13"/>
      <c r="M20" s="13"/>
    </row>
    <row r="21" spans="1:13">
      <c r="A21" s="211" t="s">
        <v>19</v>
      </c>
      <c r="B21" s="212" t="s">
        <v>40</v>
      </c>
      <c r="C21" s="211" t="s">
        <v>40</v>
      </c>
      <c r="D21" s="213" t="s">
        <v>37</v>
      </c>
      <c r="E21" s="214">
        <f>'Ap B - Qtr Electric Master'!$F$30</f>
        <v>0</v>
      </c>
      <c r="F21" s="411"/>
      <c r="G21" s="412">
        <f>SUM(' Ap D - Qtr Electric Business'!$F$14:$G$14)</f>
        <v>0</v>
      </c>
      <c r="H21" s="412"/>
      <c r="I21" s="217">
        <f>'Ap B - Qtr Electric Master'!$N$30</f>
        <v>0</v>
      </c>
      <c r="J21" s="217">
        <f>'Ap B - Qtr Electric Master'!$S$30</f>
        <v>0</v>
      </c>
      <c r="K21" s="330">
        <f>'Ap B - Qtr Electric Master'!$Q$30</f>
        <v>0</v>
      </c>
      <c r="L21" s="13"/>
      <c r="M21" s="13"/>
    </row>
    <row r="22" spans="1:13">
      <c r="A22" s="211" t="s">
        <v>19</v>
      </c>
      <c r="B22" s="212" t="s">
        <v>40</v>
      </c>
      <c r="C22" s="211" t="s">
        <v>40</v>
      </c>
      <c r="D22" s="213" t="s">
        <v>39</v>
      </c>
      <c r="E22" s="214">
        <f>'Ap B - Qtr Electric Master'!$F$31</f>
        <v>0</v>
      </c>
      <c r="F22" s="411"/>
      <c r="G22" s="412">
        <f>SUM(' Ap D - Qtr Electric Business'!$F$15:$G$15)</f>
        <v>0</v>
      </c>
      <c r="H22" s="412"/>
      <c r="I22" s="217">
        <f>'Ap B - Qtr Electric Master'!$N$31</f>
        <v>0</v>
      </c>
      <c r="J22" s="217">
        <f>'Ap B - Qtr Electric Master'!$S$31</f>
        <v>0</v>
      </c>
      <c r="K22" s="330">
        <f>'Ap B - Qtr Electric Master'!$Q$31</f>
        <v>0</v>
      </c>
      <c r="L22" s="13"/>
      <c r="M22" s="13"/>
    </row>
    <row r="23" spans="1:13">
      <c r="A23" s="211" t="s">
        <v>19</v>
      </c>
      <c r="B23" s="212" t="s">
        <v>40</v>
      </c>
      <c r="C23" s="211" t="s">
        <v>40</v>
      </c>
      <c r="D23" s="213"/>
      <c r="E23" s="214"/>
      <c r="F23" s="411">
        <f>'Ap B - Qtr Electric Master'!$I$32</f>
        <v>1364.884</v>
      </c>
      <c r="G23" s="412"/>
      <c r="H23" s="412">
        <f>'Ap B - Qtr Electric Master'!$J$32</f>
        <v>0</v>
      </c>
      <c r="I23" s="217"/>
      <c r="J23" s="217"/>
      <c r="K23" s="217"/>
      <c r="L23" s="13"/>
      <c r="M23" s="13"/>
    </row>
    <row r="24" spans="1:13">
      <c r="A24" s="211" t="s">
        <v>19</v>
      </c>
      <c r="B24" s="211" t="s">
        <v>41</v>
      </c>
      <c r="C24" s="211" t="s">
        <v>41</v>
      </c>
      <c r="D24" s="211" t="s">
        <v>41</v>
      </c>
      <c r="E24" s="994">
        <f>'Tables 2-6'!C21</f>
        <v>96</v>
      </c>
      <c r="F24" s="995">
        <f>'Tables 2-6'!D32</f>
        <v>2564.98</v>
      </c>
      <c r="G24" s="412"/>
      <c r="H24" s="992">
        <f>'Tables 2-6'!C32</f>
        <v>136</v>
      </c>
      <c r="I24" s="990">
        <f>'Tables 2-6'!C42</f>
        <v>46</v>
      </c>
      <c r="J24" s="990">
        <f>'Tables 2-6'!G5</f>
        <v>795.51499999999999</v>
      </c>
      <c r="K24" s="990">
        <f>'Tables 2-6'!G7</f>
        <v>1.5780000000000001</v>
      </c>
      <c r="L24" s="13"/>
      <c r="M24" s="13"/>
    </row>
    <row r="25" spans="1:13">
      <c r="A25" s="211" t="s">
        <v>19</v>
      </c>
      <c r="B25" s="211" t="s">
        <v>42</v>
      </c>
      <c r="C25" s="211" t="s">
        <v>42</v>
      </c>
      <c r="D25" s="213"/>
      <c r="E25" s="214"/>
      <c r="F25" s="411">
        <f>'Ap B - Qtr Electric Master'!I38</f>
        <v>950</v>
      </c>
      <c r="G25" s="412"/>
      <c r="H25" s="412">
        <f>'Ap B - Qtr Electric Master'!J38</f>
        <v>745.11892</v>
      </c>
      <c r="I25" s="217"/>
      <c r="J25" s="217"/>
      <c r="K25" s="217"/>
      <c r="L25" s="13"/>
      <c r="M25" s="13"/>
    </row>
    <row r="26" spans="1:13">
      <c r="A26" s="211"/>
      <c r="B26" s="212"/>
      <c r="C26" s="211"/>
      <c r="D26" s="213"/>
      <c r="E26" s="214"/>
      <c r="F26" s="215"/>
      <c r="G26" s="216"/>
      <c r="H26" s="216"/>
      <c r="I26" s="217"/>
      <c r="J26" s="217"/>
      <c r="K26" s="217"/>
      <c r="L26" s="13"/>
      <c r="M26" s="13"/>
    </row>
    <row r="27" spans="1:13">
      <c r="A27" s="211"/>
      <c r="B27" s="212"/>
      <c r="C27" s="211"/>
      <c r="D27" s="213"/>
      <c r="E27" s="214"/>
      <c r="F27" s="215"/>
      <c r="G27" s="216"/>
      <c r="H27" s="216"/>
      <c r="I27" s="217"/>
      <c r="J27" s="217"/>
      <c r="K27" s="217"/>
      <c r="L27" s="13"/>
      <c r="M27" s="13"/>
    </row>
    <row r="28" spans="1:13">
      <c r="A28" s="211"/>
      <c r="B28" s="212"/>
      <c r="C28" s="211"/>
      <c r="D28" s="213"/>
      <c r="E28" s="214"/>
      <c r="F28" s="215"/>
      <c r="G28" s="216"/>
      <c r="H28" s="216"/>
      <c r="I28" s="217"/>
      <c r="J28" s="217"/>
      <c r="K28" s="217"/>
      <c r="L28" s="13"/>
      <c r="M28" s="13"/>
    </row>
    <row r="29" spans="1:13">
      <c r="A29" s="211"/>
      <c r="B29" s="212"/>
      <c r="C29" s="211"/>
      <c r="D29" s="213"/>
      <c r="E29" s="214"/>
      <c r="F29" s="215"/>
      <c r="G29" s="216"/>
      <c r="H29" s="216"/>
      <c r="I29" s="217"/>
      <c r="J29" s="217"/>
      <c r="K29" s="217"/>
      <c r="L29" s="13"/>
      <c r="M29" s="13"/>
    </row>
    <row r="30" spans="1:13">
      <c r="A30" s="211"/>
      <c r="B30" s="212"/>
      <c r="C30" s="211"/>
      <c r="D30" s="213"/>
      <c r="E30" s="214"/>
      <c r="F30" s="215"/>
      <c r="G30" s="216"/>
      <c r="H30" s="216"/>
      <c r="I30" s="217"/>
      <c r="J30" s="217"/>
      <c r="K30" s="217"/>
      <c r="L30" s="13"/>
      <c r="M30" s="13"/>
    </row>
    <row r="31" spans="1:13">
      <c r="A31" s="211"/>
      <c r="B31" s="212"/>
      <c r="C31" s="211"/>
      <c r="D31" s="213"/>
      <c r="E31" s="214"/>
      <c r="F31" s="215"/>
      <c r="G31" s="216"/>
      <c r="H31" s="216"/>
      <c r="I31" s="217"/>
      <c r="J31" s="217"/>
      <c r="K31" s="217"/>
      <c r="L31" s="13"/>
      <c r="M31" s="13"/>
    </row>
  </sheetData>
  <mergeCells count="3">
    <mergeCell ref="A2:C2"/>
    <mergeCell ref="F2:H2"/>
    <mergeCell ref="I2:M2"/>
  </mergeCells>
  <conditionalFormatting sqref="G4:H31">
    <cfRule type="expression" dxfId="0" priority="1">
      <formula>IF(#REF!&gt;1,TRUE,FALSE)</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AB23"/>
  <sheetViews>
    <sheetView zoomScaleNormal="100" zoomScaleSheetLayoutView="100" workbookViewId="0">
      <selection activeCell="C26" sqref="C26"/>
    </sheetView>
  </sheetViews>
  <sheetFormatPr defaultColWidth="9.28515625" defaultRowHeight="15"/>
  <cols>
    <col min="1" max="1" width="4.28515625" customWidth="1"/>
    <col min="2" max="2" width="22.140625" customWidth="1"/>
    <col min="3" max="3" width="35" customWidth="1"/>
    <col min="4" max="4" width="16.28515625" customWidth="1"/>
    <col min="5" max="5" width="15.5703125" customWidth="1"/>
    <col min="6" max="6" width="17.42578125" customWidth="1"/>
    <col min="7" max="7" width="17.28515625" customWidth="1"/>
    <col min="8" max="8" width="16.85546875" customWidth="1"/>
    <col min="9" max="9" width="17" customWidth="1"/>
    <col min="10" max="15" width="16.28515625" customWidth="1"/>
    <col min="20" max="20" width="9.28515625" hidden="1" customWidth="1"/>
    <col min="21" max="21" width="8.85546875" hidden="1" customWidth="1"/>
    <col min="22" max="22" width="50.7109375" hidden="1" customWidth="1"/>
    <col min="23" max="24" width="13.7109375" hidden="1" customWidth="1"/>
    <col min="25" max="25" width="10.42578125" hidden="1" customWidth="1"/>
    <col min="26" max="27" width="13.7109375" hidden="1" customWidth="1"/>
    <col min="28" max="28" width="10.42578125" hidden="1" customWidth="1"/>
  </cols>
  <sheetData>
    <row r="1" spans="1:28" ht="23.25">
      <c r="A1" s="1" t="s">
        <v>183</v>
      </c>
    </row>
    <row r="3" spans="1:28" ht="19.5" thickBot="1">
      <c r="A3" s="5"/>
      <c r="B3" s="5" t="s">
        <v>184</v>
      </c>
      <c r="C3" s="5"/>
      <c r="D3" s="5"/>
      <c r="E3" s="5"/>
      <c r="F3" s="5"/>
      <c r="G3" s="5"/>
      <c r="H3" s="5"/>
    </row>
    <row r="4" spans="1:28" ht="43.15" customHeight="1" thickBot="1">
      <c r="A4" t="s">
        <v>146</v>
      </c>
      <c r="B4" s="55"/>
      <c r="C4" s="27"/>
      <c r="D4" s="966" t="s">
        <v>185</v>
      </c>
      <c r="E4" s="967"/>
      <c r="F4" s="968" t="s">
        <v>260</v>
      </c>
      <c r="G4" s="969"/>
      <c r="H4" s="970" t="s">
        <v>187</v>
      </c>
      <c r="I4" s="971"/>
      <c r="J4" s="958"/>
      <c r="K4" s="959"/>
      <c r="L4" s="959"/>
      <c r="M4" s="959"/>
      <c r="N4" s="959"/>
      <c r="O4" s="959"/>
    </row>
    <row r="5" spans="1:28" ht="21" customHeight="1" thickBot="1">
      <c r="B5" s="70"/>
      <c r="C5" s="29"/>
      <c r="D5" s="56" t="s">
        <v>189</v>
      </c>
      <c r="E5" s="58" t="s">
        <v>190</v>
      </c>
      <c r="F5" s="64" t="s">
        <v>191</v>
      </c>
      <c r="G5" s="65" t="s">
        <v>261</v>
      </c>
      <c r="H5" s="57" t="s">
        <v>193</v>
      </c>
      <c r="I5" s="60" t="s">
        <v>194</v>
      </c>
      <c r="J5" s="418" t="s">
        <v>195</v>
      </c>
      <c r="K5" s="461" t="s">
        <v>274</v>
      </c>
      <c r="L5" s="418" t="s">
        <v>197</v>
      </c>
      <c r="M5" s="419" t="s">
        <v>198</v>
      </c>
      <c r="N5" s="418" t="s">
        <v>199</v>
      </c>
      <c r="O5" s="419" t="s">
        <v>275</v>
      </c>
    </row>
    <row r="6" spans="1:28" ht="52.5" customHeight="1" thickBot="1">
      <c r="B6" s="71"/>
      <c r="C6" s="28"/>
      <c r="D6" s="972" t="s">
        <v>10</v>
      </c>
      <c r="E6" s="973"/>
      <c r="F6" s="974" t="s">
        <v>262</v>
      </c>
      <c r="G6" s="975"/>
      <c r="H6" s="949" t="s">
        <v>216</v>
      </c>
      <c r="I6" s="960"/>
      <c r="J6" s="949" t="s">
        <v>276</v>
      </c>
      <c r="K6" s="960"/>
      <c r="L6" s="949" t="s">
        <v>277</v>
      </c>
      <c r="M6" s="960"/>
      <c r="N6" s="949" t="s">
        <v>278</v>
      </c>
      <c r="O6" s="960"/>
      <c r="T6" s="449" t="s">
        <v>225</v>
      </c>
      <c r="U6" s="449" t="s">
        <v>7</v>
      </c>
      <c r="V6" s="449" t="s">
        <v>226</v>
      </c>
      <c r="W6" s="450" t="s">
        <v>227</v>
      </c>
      <c r="X6" s="450" t="s">
        <v>228</v>
      </c>
      <c r="Y6" s="450" t="s">
        <v>229</v>
      </c>
      <c r="Z6" s="450" t="s">
        <v>227</v>
      </c>
      <c r="AA6" s="450" t="s">
        <v>228</v>
      </c>
      <c r="AB6" s="450" t="s">
        <v>229</v>
      </c>
    </row>
    <row r="7" spans="1:28" ht="30.75" thickBot="1">
      <c r="B7" s="52" t="s">
        <v>250</v>
      </c>
      <c r="C7" s="47" t="s">
        <v>9</v>
      </c>
      <c r="D7" s="68" t="s">
        <v>279</v>
      </c>
      <c r="E7" s="69" t="s">
        <v>280</v>
      </c>
      <c r="F7" s="68" t="s">
        <v>279</v>
      </c>
      <c r="G7" s="69" t="s">
        <v>280</v>
      </c>
      <c r="H7" s="68" t="s">
        <v>279</v>
      </c>
      <c r="I7" s="69" t="s">
        <v>280</v>
      </c>
      <c r="J7" s="420" t="s">
        <v>279</v>
      </c>
      <c r="K7" s="462" t="s">
        <v>280</v>
      </c>
      <c r="L7" s="420" t="s">
        <v>279</v>
      </c>
      <c r="M7" s="421" t="s">
        <v>280</v>
      </c>
      <c r="N7" s="460" t="s">
        <v>279</v>
      </c>
      <c r="O7" s="459" t="s">
        <v>280</v>
      </c>
      <c r="T7" s="451">
        <v>6</v>
      </c>
      <c r="U7" s="451" t="s">
        <v>239</v>
      </c>
      <c r="V7" s="451" t="s">
        <v>40</v>
      </c>
      <c r="W7" s="452">
        <v>0.115</v>
      </c>
      <c r="X7" s="452">
        <v>0.13400000000000001</v>
      </c>
      <c r="Y7" s="452">
        <v>1.4999999999999999E-2</v>
      </c>
      <c r="Z7" s="453">
        <f t="shared" ref="Z7:AB12" si="0">(W7+1)</f>
        <v>1.115</v>
      </c>
      <c r="AA7" s="453">
        <f t="shared" si="0"/>
        <v>1.1339999999999999</v>
      </c>
      <c r="AB7" s="453">
        <f t="shared" si="0"/>
        <v>1.0149999999999999</v>
      </c>
    </row>
    <row r="8" spans="1:28" ht="15.75" thickBot="1">
      <c r="B8" s="46" t="s">
        <v>147</v>
      </c>
      <c r="C8" s="31" t="s">
        <v>35</v>
      </c>
      <c r="D8" s="873">
        <v>15</v>
      </c>
      <c r="E8" s="649" t="s">
        <v>107</v>
      </c>
      <c r="F8" s="874">
        <v>806.44299999999998</v>
      </c>
      <c r="G8" s="875" t="s">
        <v>107</v>
      </c>
      <c r="H8" s="876">
        <v>674</v>
      </c>
      <c r="I8" s="649" t="s">
        <v>107</v>
      </c>
      <c r="J8" s="873">
        <v>674</v>
      </c>
      <c r="K8" s="649" t="s">
        <v>107</v>
      </c>
      <c r="L8" s="734">
        <v>10003</v>
      </c>
      <c r="M8" s="649" t="s">
        <v>107</v>
      </c>
      <c r="N8" s="734">
        <v>5845</v>
      </c>
      <c r="O8" s="649" t="s">
        <v>107</v>
      </c>
      <c r="T8" s="451">
        <v>7</v>
      </c>
      <c r="U8" s="451" t="s">
        <v>99</v>
      </c>
      <c r="V8" s="451" t="s">
        <v>240</v>
      </c>
      <c r="W8" s="452">
        <v>9.0999999999999998E-2</v>
      </c>
      <c r="X8" s="452">
        <v>0.113</v>
      </c>
      <c r="Y8" s="452">
        <v>1.4999999999999999E-2</v>
      </c>
      <c r="Z8" s="453">
        <f t="shared" si="0"/>
        <v>1.091</v>
      </c>
      <c r="AA8" s="453">
        <f t="shared" si="0"/>
        <v>1.113</v>
      </c>
      <c r="AB8" s="453">
        <f t="shared" si="0"/>
        <v>1.0149999999999999</v>
      </c>
    </row>
    <row r="9" spans="1:28">
      <c r="B9" s="961" t="s">
        <v>36</v>
      </c>
      <c r="C9" s="45" t="s">
        <v>37</v>
      </c>
      <c r="D9" s="877">
        <v>41</v>
      </c>
      <c r="E9" s="878">
        <v>26</v>
      </c>
      <c r="F9" s="879">
        <v>362.68400000000003</v>
      </c>
      <c r="G9" s="880">
        <v>219.52</v>
      </c>
      <c r="H9" s="701">
        <v>1718</v>
      </c>
      <c r="I9" s="878">
        <v>1775</v>
      </c>
      <c r="J9" s="735">
        <v>1718</v>
      </c>
      <c r="K9" s="881">
        <v>1775</v>
      </c>
      <c r="L9" s="735">
        <v>24729</v>
      </c>
      <c r="M9" s="881">
        <v>26299</v>
      </c>
      <c r="N9" s="735">
        <v>1874</v>
      </c>
      <c r="O9" s="702">
        <f>K9*$Z$8</f>
        <v>1936.5249999999999</v>
      </c>
      <c r="T9" s="451">
        <v>8</v>
      </c>
      <c r="U9" s="451" t="s">
        <v>99</v>
      </c>
      <c r="V9" s="451" t="s">
        <v>242</v>
      </c>
      <c r="W9" s="452">
        <v>6.9000000000000006E-2</v>
      </c>
      <c r="X9" s="452">
        <v>8.6999999999999994E-2</v>
      </c>
      <c r="Y9" s="452">
        <v>1.4999999999999999E-2</v>
      </c>
      <c r="Z9" s="453">
        <f t="shared" si="0"/>
        <v>1.069</v>
      </c>
      <c r="AA9" s="453">
        <f t="shared" si="0"/>
        <v>1.087</v>
      </c>
      <c r="AB9" s="453">
        <f t="shared" si="0"/>
        <v>1.0149999999999999</v>
      </c>
    </row>
    <row r="10" spans="1:28">
      <c r="B10" s="962"/>
      <c r="C10" s="44" t="s">
        <v>38</v>
      </c>
      <c r="D10" s="877" t="s">
        <v>281</v>
      </c>
      <c r="E10" s="664">
        <v>1</v>
      </c>
      <c r="F10" s="882">
        <v>0</v>
      </c>
      <c r="G10" s="879">
        <v>112.068</v>
      </c>
      <c r="H10" s="883">
        <v>0</v>
      </c>
      <c r="I10" s="664">
        <v>319</v>
      </c>
      <c r="J10" s="877">
        <v>0</v>
      </c>
      <c r="K10" s="884">
        <v>319</v>
      </c>
      <c r="L10" s="877">
        <v>0</v>
      </c>
      <c r="M10" s="885">
        <v>1595</v>
      </c>
      <c r="N10" s="701">
        <f>J10*$Z$11</f>
        <v>0</v>
      </c>
      <c r="O10" s="664">
        <f>K10*$Z$11</f>
        <v>343.56299999999999</v>
      </c>
      <c r="T10" s="451">
        <v>9</v>
      </c>
      <c r="U10" s="451" t="s">
        <v>99</v>
      </c>
      <c r="V10" s="451" t="s">
        <v>244</v>
      </c>
      <c r="W10" s="452">
        <v>9.9000000000000005E-2</v>
      </c>
      <c r="X10" s="452">
        <v>0.121</v>
      </c>
      <c r="Y10" s="452">
        <v>1.4999999999999999E-2</v>
      </c>
      <c r="Z10" s="453">
        <f t="shared" si="0"/>
        <v>1.099</v>
      </c>
      <c r="AA10" s="453">
        <f t="shared" si="0"/>
        <v>1.121</v>
      </c>
      <c r="AB10" s="453">
        <f t="shared" si="0"/>
        <v>1.0149999999999999</v>
      </c>
    </row>
    <row r="11" spans="1:28" ht="15.75" thickBot="1">
      <c r="B11" s="963"/>
      <c r="C11" s="454" t="s">
        <v>39</v>
      </c>
      <c r="D11" s="886" t="s">
        <v>281</v>
      </c>
      <c r="E11" s="704">
        <v>0</v>
      </c>
      <c r="F11" s="887">
        <v>0</v>
      </c>
      <c r="G11" s="888">
        <v>0</v>
      </c>
      <c r="H11" s="703">
        <v>0</v>
      </c>
      <c r="I11" s="704">
        <v>0</v>
      </c>
      <c r="J11" s="703">
        <v>0</v>
      </c>
      <c r="K11" s="704">
        <v>0</v>
      </c>
      <c r="L11" s="703">
        <v>0</v>
      </c>
      <c r="M11" s="704">
        <v>0</v>
      </c>
      <c r="N11" s="703">
        <f>J11*$Z$9</f>
        <v>0</v>
      </c>
      <c r="O11" s="704">
        <f>K11*$Z$9</f>
        <v>0</v>
      </c>
      <c r="T11" s="451">
        <v>10</v>
      </c>
      <c r="U11" s="451" t="s">
        <v>99</v>
      </c>
      <c r="V11" s="451" t="s">
        <v>246</v>
      </c>
      <c r="W11" s="452">
        <v>7.6999999999999999E-2</v>
      </c>
      <c r="X11" s="452">
        <v>9.1999999999999998E-2</v>
      </c>
      <c r="Y11" s="452">
        <v>1.4999999999999999E-2</v>
      </c>
      <c r="Z11" s="453">
        <f t="shared" si="0"/>
        <v>1.077</v>
      </c>
      <c r="AA11" s="453">
        <f t="shared" si="0"/>
        <v>1.0920000000000001</v>
      </c>
      <c r="AB11" s="453">
        <f t="shared" si="0"/>
        <v>1.0149999999999999</v>
      </c>
    </row>
    <row r="12" spans="1:28" s="9" customFormat="1" ht="15.75" thickBot="1">
      <c r="B12" s="455" t="s">
        <v>253</v>
      </c>
      <c r="C12" s="456"/>
      <c r="D12" s="733">
        <v>56</v>
      </c>
      <c r="E12" s="650">
        <f t="shared" ref="E12:I12" si="1">SUM(E8:E11)</f>
        <v>27</v>
      </c>
      <c r="F12" s="457">
        <f t="shared" si="1"/>
        <v>1169.127</v>
      </c>
      <c r="G12" s="458">
        <f>SUM(G8:G11)</f>
        <v>331.58800000000002</v>
      </c>
      <c r="H12" s="470">
        <f t="shared" si="1"/>
        <v>2392</v>
      </c>
      <c r="I12" s="650">
        <f t="shared" si="1"/>
        <v>2094</v>
      </c>
      <c r="J12" s="470">
        <f t="shared" ref="J12:M12" si="2">SUM(J8:J11)</f>
        <v>2392</v>
      </c>
      <c r="K12" s="650">
        <f t="shared" si="2"/>
        <v>2094</v>
      </c>
      <c r="L12" s="470">
        <f t="shared" si="2"/>
        <v>34732</v>
      </c>
      <c r="M12" s="471">
        <f t="shared" si="2"/>
        <v>27894</v>
      </c>
      <c r="N12" s="470">
        <f>SUM(N8:N11)</f>
        <v>7719</v>
      </c>
      <c r="O12" s="471">
        <f>SUM(O8:O11)</f>
        <v>2280.0879999999997</v>
      </c>
      <c r="P12"/>
      <c r="Q12"/>
      <c r="R12"/>
      <c r="S12"/>
      <c r="T12" s="451">
        <v>11</v>
      </c>
      <c r="U12" s="451" t="s">
        <v>247</v>
      </c>
      <c r="V12" s="451" t="s">
        <v>248</v>
      </c>
      <c r="W12" s="452">
        <v>0.115</v>
      </c>
      <c r="X12" s="452">
        <v>0.13400000000000001</v>
      </c>
      <c r="Y12" s="452">
        <v>1.4999999999999999E-2</v>
      </c>
      <c r="Z12" s="453">
        <f t="shared" si="0"/>
        <v>1.115</v>
      </c>
      <c r="AA12" s="453">
        <f t="shared" si="0"/>
        <v>1.1339999999999999</v>
      </c>
      <c r="AB12" s="453">
        <f t="shared" si="0"/>
        <v>1.0149999999999999</v>
      </c>
    </row>
    <row r="13" spans="1:28" ht="15.75" thickBot="1">
      <c r="B13" s="54"/>
      <c r="C13" s="63"/>
      <c r="D13" s="651"/>
      <c r="E13" s="652"/>
      <c r="F13" s="653"/>
      <c r="G13" s="654"/>
      <c r="H13" s="651"/>
      <c r="I13" s="652"/>
      <c r="J13" s="655"/>
      <c r="K13" s="656"/>
      <c r="L13" s="655"/>
      <c r="M13" s="657"/>
      <c r="N13" s="655"/>
      <c r="O13" s="657"/>
    </row>
    <row r="14" spans="1:28">
      <c r="B14" s="964" t="s">
        <v>40</v>
      </c>
      <c r="C14" s="67" t="s">
        <v>37</v>
      </c>
      <c r="D14" s="658">
        <v>0</v>
      </c>
      <c r="E14" s="659">
        <v>0</v>
      </c>
      <c r="F14" s="660">
        <v>0</v>
      </c>
      <c r="G14" s="661">
        <v>0</v>
      </c>
      <c r="H14" s="658">
        <v>0</v>
      </c>
      <c r="I14" s="659">
        <v>0</v>
      </c>
      <c r="J14" s="658">
        <v>0</v>
      </c>
      <c r="K14" s="659">
        <v>0</v>
      </c>
      <c r="L14" s="658">
        <v>0</v>
      </c>
      <c r="M14" s="662">
        <v>0</v>
      </c>
      <c r="N14" s="663">
        <f>J14*$Z$7</f>
        <v>0</v>
      </c>
      <c r="O14" s="664">
        <f>K14*$Z$7</f>
        <v>0</v>
      </c>
    </row>
    <row r="15" spans="1:28" ht="15.75" customHeight="1" thickBot="1">
      <c r="B15" s="965"/>
      <c r="C15" s="66" t="s">
        <v>39</v>
      </c>
      <c r="D15" s="665">
        <v>0</v>
      </c>
      <c r="E15" s="666">
        <v>0</v>
      </c>
      <c r="F15" s="667">
        <v>0</v>
      </c>
      <c r="G15" s="668">
        <v>0</v>
      </c>
      <c r="H15" s="665">
        <v>0</v>
      </c>
      <c r="I15" s="666">
        <v>0</v>
      </c>
      <c r="J15" s="665">
        <v>0</v>
      </c>
      <c r="K15" s="666">
        <v>0</v>
      </c>
      <c r="L15" s="665">
        <v>0</v>
      </c>
      <c r="M15" s="669">
        <v>0</v>
      </c>
      <c r="N15" s="670">
        <f>J15*$Z$7</f>
        <v>0</v>
      </c>
      <c r="O15" s="671">
        <f>K15*$Z$7</f>
        <v>0</v>
      </c>
    </row>
    <row r="16" spans="1:28" ht="15.75" thickBot="1">
      <c r="B16" s="455" t="s">
        <v>170</v>
      </c>
      <c r="C16" s="456"/>
      <c r="D16" s="455"/>
      <c r="E16" s="463"/>
      <c r="F16" s="464"/>
      <c r="G16" s="465"/>
      <c r="H16" s="455"/>
      <c r="I16" s="466"/>
      <c r="J16" s="672"/>
      <c r="K16" s="467"/>
      <c r="L16" s="672"/>
      <c r="M16" s="466"/>
      <c r="N16" s="672"/>
      <c r="O16" s="466"/>
    </row>
    <row r="17" spans="2:15" ht="15.75" thickBot="1">
      <c r="B17" s="74" t="s">
        <v>257</v>
      </c>
      <c r="C17" s="75"/>
      <c r="D17" s="673" t="s">
        <v>107</v>
      </c>
      <c r="E17" s="674" t="s">
        <v>107</v>
      </c>
      <c r="F17" s="675" t="s">
        <v>107</v>
      </c>
      <c r="G17" s="676" t="s">
        <v>107</v>
      </c>
      <c r="H17" s="673" t="s">
        <v>107</v>
      </c>
      <c r="I17" s="677" t="s">
        <v>107</v>
      </c>
      <c r="J17" s="678" t="s">
        <v>107</v>
      </c>
      <c r="K17" s="679" t="s">
        <v>107</v>
      </c>
      <c r="L17" s="678" t="s">
        <v>107</v>
      </c>
      <c r="M17" s="677" t="s">
        <v>107</v>
      </c>
      <c r="N17" s="678" t="s">
        <v>107</v>
      </c>
      <c r="O17" s="677" t="s">
        <v>107</v>
      </c>
    </row>
    <row r="18" spans="2:15" ht="15.75" thickBot="1">
      <c r="B18" s="18" t="s">
        <v>258</v>
      </c>
      <c r="C18" s="61"/>
      <c r="D18" s="167" t="s">
        <v>107</v>
      </c>
      <c r="E18" s="168" t="s">
        <v>107</v>
      </c>
      <c r="F18" s="151" t="s">
        <v>107</v>
      </c>
      <c r="G18" s="193" t="s">
        <v>107</v>
      </c>
      <c r="H18" s="167" t="s">
        <v>107</v>
      </c>
      <c r="I18" s="166" t="s">
        <v>107</v>
      </c>
      <c r="J18" s="119">
        <f>SUM(J17)</f>
        <v>0</v>
      </c>
      <c r="K18" s="150">
        <f t="shared" ref="K18:O18" si="3">SUM(K17)</f>
        <v>0</v>
      </c>
      <c r="L18" s="119">
        <f t="shared" si="3"/>
        <v>0</v>
      </c>
      <c r="M18" s="166">
        <f t="shared" si="3"/>
        <v>0</v>
      </c>
      <c r="N18" s="119">
        <f t="shared" si="3"/>
        <v>0</v>
      </c>
      <c r="O18" s="166">
        <f t="shared" si="3"/>
        <v>0</v>
      </c>
    </row>
    <row r="19" spans="2:15" ht="15.75" thickBot="1">
      <c r="B19" s="54"/>
      <c r="C19" s="63"/>
      <c r="D19" s="651"/>
      <c r="E19" s="652"/>
      <c r="F19" s="653"/>
      <c r="G19" s="654"/>
      <c r="H19" s="651"/>
      <c r="I19" s="652"/>
      <c r="J19" s="655"/>
      <c r="K19" s="656"/>
      <c r="L19" s="655"/>
      <c r="M19" s="657"/>
      <c r="N19" s="655"/>
      <c r="O19" s="657"/>
    </row>
    <row r="20" spans="2:15" ht="15.75" thickBot="1">
      <c r="B20" s="455" t="s">
        <v>259</v>
      </c>
      <c r="C20" s="467"/>
      <c r="D20" s="468"/>
      <c r="E20" s="469"/>
      <c r="F20" s="194">
        <v>0</v>
      </c>
      <c r="G20" s="195">
        <v>0</v>
      </c>
      <c r="H20" s="468"/>
      <c r="I20" s="469"/>
      <c r="J20" s="470">
        <f t="shared" ref="J20:O20" si="4">SUM(J18,J14:J15,J12)</f>
        <v>2392</v>
      </c>
      <c r="K20" s="650">
        <f t="shared" si="4"/>
        <v>2094</v>
      </c>
      <c r="L20" s="470">
        <f t="shared" si="4"/>
        <v>34732</v>
      </c>
      <c r="M20" s="471">
        <f t="shared" si="4"/>
        <v>27894</v>
      </c>
      <c r="N20" s="470">
        <f t="shared" si="4"/>
        <v>7719</v>
      </c>
      <c r="O20" s="471">
        <f t="shared" si="4"/>
        <v>2280.0879999999997</v>
      </c>
    </row>
    <row r="21" spans="2:15" ht="15.75" thickBot="1">
      <c r="B21" s="321" t="s">
        <v>169</v>
      </c>
      <c r="C21" s="472"/>
      <c r="D21" s="470">
        <f t="shared" ref="D21:I21" si="5">SUM(D18,D14:D15,D12)</f>
        <v>56</v>
      </c>
      <c r="E21" s="650">
        <f t="shared" si="5"/>
        <v>27</v>
      </c>
      <c r="F21" s="194">
        <f t="shared" si="5"/>
        <v>1169.127</v>
      </c>
      <c r="G21" s="195">
        <f t="shared" si="5"/>
        <v>331.58800000000002</v>
      </c>
      <c r="H21" s="470">
        <f t="shared" si="5"/>
        <v>2392</v>
      </c>
      <c r="I21" s="650">
        <f t="shared" si="5"/>
        <v>2094</v>
      </c>
      <c r="J21" s="680"/>
      <c r="K21" s="681"/>
      <c r="L21" s="680"/>
      <c r="M21" s="682"/>
      <c r="N21" s="680"/>
      <c r="O21" s="682"/>
    </row>
    <row r="23" spans="2:15">
      <c r="E23" s="344"/>
    </row>
  </sheetData>
  <mergeCells count="12">
    <mergeCell ref="B14:B15"/>
    <mergeCell ref="D4:E4"/>
    <mergeCell ref="F4:G4"/>
    <mergeCell ref="H4:I4"/>
    <mergeCell ref="D6:E6"/>
    <mergeCell ref="F6:G6"/>
    <mergeCell ref="H6:I6"/>
    <mergeCell ref="J4:O4"/>
    <mergeCell ref="J6:K6"/>
    <mergeCell ref="L6:M6"/>
    <mergeCell ref="N6:O6"/>
    <mergeCell ref="B9:B11"/>
  </mergeCells>
  <pageMargins left="0.25" right="0.25" top="0.75" bottom="0.75" header="0.3" footer="0.3"/>
  <pageSetup scale="82" fitToHeight="0" orientation="landscape" r:id="rId1"/>
  <headerFooter>
    <oddHeader>&amp;CACE Q2 of Program Year 2022 Small Business Reporting Table</oddHeader>
    <oddFooter>&amp;C&amp;N&amp;R&amp;D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Q20"/>
  <sheetViews>
    <sheetView zoomScaleNormal="100" zoomScaleSheetLayoutView="70" workbookViewId="0">
      <selection activeCell="H22" sqref="H22"/>
    </sheetView>
  </sheetViews>
  <sheetFormatPr defaultRowHeight="15"/>
  <cols>
    <col min="1" max="1" width="4.42578125" customWidth="1"/>
    <col min="2" max="2" width="14.28515625" customWidth="1"/>
    <col min="3" max="3" width="16.140625" customWidth="1"/>
    <col min="4" max="4" width="18.85546875" customWidth="1"/>
    <col min="5" max="5" width="14.42578125" customWidth="1"/>
    <col min="6" max="6" width="17.7109375" customWidth="1"/>
    <col min="7" max="7" width="18.85546875" customWidth="1"/>
    <col min="8" max="10" width="18.5703125" customWidth="1"/>
    <col min="11" max="12" width="21" customWidth="1"/>
    <col min="13" max="14" width="20.7109375" customWidth="1"/>
    <col min="16" max="16" width="21.7109375" customWidth="1"/>
    <col min="17" max="17" width="16.5703125" customWidth="1"/>
  </cols>
  <sheetData>
    <row r="1" spans="1:17" ht="24.75">
      <c r="A1" s="354"/>
      <c r="B1" s="355"/>
      <c r="C1" s="356"/>
      <c r="D1" s="356"/>
      <c r="E1" s="355"/>
      <c r="F1" s="355"/>
      <c r="G1" s="355"/>
      <c r="H1" s="355"/>
      <c r="I1" s="355"/>
      <c r="J1" s="355"/>
      <c r="K1" s="355"/>
      <c r="L1" s="355"/>
      <c r="M1" s="355"/>
      <c r="N1" s="355"/>
      <c r="O1" s="357"/>
      <c r="P1" s="358"/>
    </row>
    <row r="2" spans="1:17" ht="18.75">
      <c r="A2" s="355"/>
      <c r="B2" s="359" t="s">
        <v>282</v>
      </c>
      <c r="C2" s="360"/>
      <c r="D2" s="360"/>
      <c r="E2" s="355"/>
      <c r="F2" s="355"/>
      <c r="G2" s="355"/>
      <c r="H2" s="355"/>
      <c r="I2" s="355"/>
      <c r="J2" s="355"/>
      <c r="K2" s="355"/>
      <c r="L2" s="355"/>
      <c r="M2" s="355"/>
      <c r="N2" s="355"/>
      <c r="O2" s="357"/>
      <c r="P2" s="358"/>
    </row>
    <row r="3" spans="1:17" ht="19.5" thickBot="1">
      <c r="A3" s="355"/>
      <c r="B3" s="359" t="s">
        <v>184</v>
      </c>
      <c r="C3" s="359"/>
      <c r="D3" s="356"/>
      <c r="E3" s="355"/>
      <c r="F3" s="355"/>
      <c r="G3" s="355"/>
      <c r="H3" s="355"/>
      <c r="I3" s="355"/>
      <c r="J3" s="355"/>
      <c r="K3" s="355"/>
      <c r="L3" s="355"/>
      <c r="M3" s="355"/>
      <c r="N3" s="355"/>
      <c r="O3" s="357"/>
      <c r="P3" s="358"/>
    </row>
    <row r="4" spans="1:17" ht="18.75" customHeight="1">
      <c r="A4" s="355"/>
      <c r="B4" s="976" t="s">
        <v>283</v>
      </c>
      <c r="C4" s="977"/>
      <c r="D4" s="977"/>
      <c r="E4" s="977"/>
      <c r="F4" s="977"/>
      <c r="G4" s="977"/>
      <c r="H4" s="977"/>
      <c r="I4" s="977"/>
      <c r="J4" s="977"/>
      <c r="K4" s="977"/>
      <c r="L4" s="977"/>
      <c r="M4" s="977"/>
      <c r="N4" s="978"/>
      <c r="O4" s="357"/>
      <c r="P4" s="358"/>
    </row>
    <row r="5" spans="1:17" ht="19.5" thickBot="1">
      <c r="A5" s="355"/>
      <c r="B5" s="979"/>
      <c r="C5" s="980"/>
      <c r="D5" s="980"/>
      <c r="E5" s="980"/>
      <c r="F5" s="980"/>
      <c r="G5" s="980"/>
      <c r="H5" s="980"/>
      <c r="I5" s="980"/>
      <c r="J5" s="980"/>
      <c r="K5" s="980"/>
      <c r="L5" s="980"/>
      <c r="M5" s="980"/>
      <c r="N5" s="981"/>
      <c r="O5" s="357"/>
      <c r="P5" s="358"/>
    </row>
    <row r="6" spans="1:17" ht="78.75">
      <c r="A6" s="361"/>
      <c r="B6" s="362" t="s">
        <v>284</v>
      </c>
      <c r="C6" s="363" t="s">
        <v>285</v>
      </c>
      <c r="D6" s="363" t="s">
        <v>286</v>
      </c>
      <c r="E6" s="363" t="s">
        <v>287</v>
      </c>
      <c r="F6" s="364" t="s">
        <v>288</v>
      </c>
      <c r="G6" s="363" t="s">
        <v>289</v>
      </c>
      <c r="H6" s="365" t="s">
        <v>290</v>
      </c>
      <c r="I6" s="366" t="s">
        <v>291</v>
      </c>
      <c r="J6" s="366" t="s">
        <v>292</v>
      </c>
      <c r="K6" s="366" t="s">
        <v>293</v>
      </c>
      <c r="L6" s="366" t="s">
        <v>294</v>
      </c>
      <c r="M6" s="367" t="s">
        <v>295</v>
      </c>
      <c r="N6" s="368" t="s">
        <v>296</v>
      </c>
      <c r="O6" s="357"/>
      <c r="P6" s="369"/>
    </row>
    <row r="7" spans="1:17" ht="30.75" customHeight="1">
      <c r="A7" s="361"/>
      <c r="B7" s="370"/>
      <c r="C7" s="371"/>
      <c r="D7" s="371"/>
      <c r="E7" s="372" t="s">
        <v>51</v>
      </c>
      <c r="F7" s="372" t="s">
        <v>52</v>
      </c>
      <c r="G7" s="372" t="s">
        <v>297</v>
      </c>
      <c r="H7" s="373" t="s">
        <v>298</v>
      </c>
      <c r="I7" s="373" t="s">
        <v>55</v>
      </c>
      <c r="J7" s="373" t="s">
        <v>299</v>
      </c>
      <c r="K7" s="373" t="s">
        <v>300</v>
      </c>
      <c r="L7" s="373" t="s">
        <v>301</v>
      </c>
      <c r="M7" s="373" t="s">
        <v>302</v>
      </c>
      <c r="N7" s="374" t="s">
        <v>303</v>
      </c>
      <c r="O7" s="357"/>
      <c r="P7" s="369"/>
    </row>
    <row r="8" spans="1:17" ht="18.75">
      <c r="A8" s="361"/>
      <c r="B8" s="375"/>
      <c r="C8" s="376"/>
      <c r="D8" s="376"/>
      <c r="E8" s="376"/>
      <c r="F8" s="376"/>
      <c r="G8" s="376"/>
      <c r="H8" s="376"/>
      <c r="I8" s="376"/>
      <c r="J8" s="376"/>
      <c r="K8" s="376"/>
      <c r="L8" s="376"/>
      <c r="M8" s="518"/>
      <c r="N8" s="377"/>
      <c r="O8" s="357"/>
      <c r="P8" s="344"/>
    </row>
    <row r="9" spans="1:17" ht="18.75">
      <c r="A9" s="355"/>
      <c r="B9" s="378" t="s">
        <v>19</v>
      </c>
      <c r="C9" s="379">
        <v>2021</v>
      </c>
      <c r="D9" s="379" t="s">
        <v>304</v>
      </c>
      <c r="E9" s="380">
        <v>9725504.6995833125</v>
      </c>
      <c r="F9" s="380">
        <f>467346+487282</f>
        <v>954628</v>
      </c>
      <c r="G9" s="380">
        <f>E9-F9</f>
        <v>8770876.6995833125</v>
      </c>
      <c r="H9" s="380"/>
      <c r="I9" s="380"/>
      <c r="J9" s="380"/>
      <c r="K9" s="380"/>
      <c r="L9" s="380"/>
      <c r="M9" s="381"/>
      <c r="N9" s="382"/>
      <c r="O9" s="357"/>
      <c r="P9" s="383"/>
      <c r="Q9" s="344"/>
    </row>
    <row r="10" spans="1:17" ht="18.75">
      <c r="A10" s="355"/>
      <c r="B10" s="384"/>
      <c r="C10" s="379">
        <v>2022</v>
      </c>
      <c r="D10" s="379" t="s">
        <v>305</v>
      </c>
      <c r="E10" s="380">
        <v>10200284</v>
      </c>
      <c r="F10" s="380">
        <f>743583+663446</f>
        <v>1407029</v>
      </c>
      <c r="G10" s="380">
        <f>E10-F10</f>
        <v>8793255</v>
      </c>
      <c r="H10" s="380"/>
      <c r="I10" s="380"/>
      <c r="J10" s="380"/>
      <c r="K10" s="380"/>
      <c r="L10" s="380"/>
      <c r="M10" s="381"/>
      <c r="N10" s="382"/>
      <c r="O10" s="357"/>
      <c r="P10" s="383"/>
    </row>
    <row r="11" spans="1:17" ht="18.75">
      <c r="A11" s="355"/>
      <c r="B11" s="378"/>
      <c r="C11" s="379">
        <v>2023</v>
      </c>
      <c r="D11" s="379" t="s">
        <v>306</v>
      </c>
      <c r="E11" s="740">
        <v>8607976</v>
      </c>
      <c r="F11" s="740">
        <v>34600</v>
      </c>
      <c r="G11" s="380">
        <f>E11-F11</f>
        <v>8573376</v>
      </c>
      <c r="H11" s="380"/>
      <c r="I11" s="380"/>
      <c r="J11" s="380"/>
      <c r="K11" s="380"/>
      <c r="L11" s="380"/>
      <c r="M11" s="381"/>
      <c r="N11" s="382"/>
      <c r="O11" s="357"/>
      <c r="P11" s="358"/>
    </row>
    <row r="12" spans="1:17" ht="19.5" thickBot="1">
      <c r="A12" s="358"/>
      <c r="B12" s="385"/>
      <c r="C12" s="386" t="s">
        <v>393</v>
      </c>
      <c r="D12" s="386" t="s">
        <v>394</v>
      </c>
      <c r="E12" s="387"/>
      <c r="F12" s="387">
        <v>0</v>
      </c>
      <c r="G12" s="387">
        <f>E12-F12</f>
        <v>0</v>
      </c>
      <c r="H12" s="387">
        <f>AVERAGE(G9:G11)</f>
        <v>8712502.5665277708</v>
      </c>
      <c r="I12" s="388">
        <v>1.4500000000000001E-2</v>
      </c>
      <c r="J12" s="387">
        <f>I12*H12</f>
        <v>126331.28721465268</v>
      </c>
      <c r="K12" s="388">
        <v>4.7999999999999996E-3</v>
      </c>
      <c r="L12" s="387">
        <f>K12*H12</f>
        <v>41820.012319333298</v>
      </c>
      <c r="M12" s="389">
        <f>I12-K12</f>
        <v>9.7000000000000003E-3</v>
      </c>
      <c r="N12" s="417">
        <f>M12*H12</f>
        <v>84511.27489531938</v>
      </c>
      <c r="O12" s="357"/>
      <c r="P12" s="358"/>
    </row>
    <row r="13" spans="1:17" ht="18.75">
      <c r="A13" s="355"/>
      <c r="B13" s="390"/>
      <c r="C13" s="391"/>
      <c r="D13" s="391"/>
      <c r="E13" s="392"/>
      <c r="F13" s="393"/>
      <c r="G13" s="393"/>
      <c r="H13" s="394"/>
      <c r="I13" s="720"/>
      <c r="J13" s="394"/>
      <c r="K13" s="394"/>
      <c r="L13" s="394"/>
      <c r="M13" s="393"/>
      <c r="N13" s="395"/>
      <c r="O13" s="357"/>
      <c r="P13" s="358"/>
    </row>
    <row r="14" spans="1:17" ht="18.75">
      <c r="A14" s="355"/>
      <c r="B14" s="396" t="s">
        <v>307</v>
      </c>
      <c r="C14" s="397"/>
      <c r="D14" s="397"/>
      <c r="E14" s="398"/>
      <c r="F14" s="398"/>
      <c r="G14" s="398"/>
      <c r="H14" s="398"/>
      <c r="I14" s="398"/>
      <c r="J14" s="398"/>
      <c r="K14" s="398"/>
      <c r="L14" s="398"/>
      <c r="M14" s="398"/>
      <c r="N14" s="398"/>
      <c r="O14" s="357"/>
      <c r="P14" s="358"/>
    </row>
    <row r="15" spans="1:17" ht="18.75">
      <c r="A15" s="355"/>
      <c r="B15" s="399" t="s">
        <v>308</v>
      </c>
      <c r="C15" s="397"/>
      <c r="D15" s="397"/>
      <c r="E15" s="398"/>
      <c r="F15" s="398"/>
      <c r="G15" s="398"/>
      <c r="H15" s="398"/>
      <c r="I15" s="398"/>
      <c r="J15" s="398"/>
      <c r="K15" s="398"/>
      <c r="L15" s="398"/>
      <c r="M15" s="398"/>
      <c r="N15" s="398"/>
      <c r="O15" s="357"/>
      <c r="P15" s="358"/>
    </row>
    <row r="16" spans="1:17" ht="18.75">
      <c r="A16" s="355"/>
      <c r="B16" s="399" t="s">
        <v>309</v>
      </c>
      <c r="C16" s="397"/>
      <c r="D16" s="397"/>
      <c r="E16" s="398"/>
      <c r="F16" s="398"/>
      <c r="G16" s="398"/>
      <c r="H16" s="398"/>
      <c r="I16" s="398"/>
      <c r="J16" s="398"/>
      <c r="K16" s="398"/>
      <c r="L16" s="398"/>
      <c r="M16" s="398"/>
      <c r="N16" s="398"/>
      <c r="O16" s="357"/>
      <c r="P16" s="358"/>
    </row>
    <row r="17" spans="1:15" ht="18.75">
      <c r="A17" s="355"/>
      <c r="B17" s="399" t="s">
        <v>310</v>
      </c>
      <c r="C17" s="397"/>
      <c r="D17" s="397"/>
      <c r="E17" s="398"/>
      <c r="F17" s="398"/>
      <c r="G17" s="398"/>
      <c r="H17" s="398"/>
      <c r="I17" s="398"/>
      <c r="J17" s="398"/>
      <c r="K17" s="398"/>
      <c r="L17" s="398"/>
      <c r="M17" s="398"/>
      <c r="N17" s="398"/>
      <c r="O17" s="357"/>
    </row>
    <row r="18" spans="1:15" ht="18.75">
      <c r="A18" s="355"/>
      <c r="B18" s="398"/>
      <c r="C18" s="397"/>
      <c r="D18" s="397"/>
      <c r="E18" s="398"/>
      <c r="F18" s="398"/>
      <c r="G18" s="398"/>
      <c r="H18" s="398"/>
      <c r="I18" s="398"/>
      <c r="J18" s="398"/>
      <c r="K18" s="398"/>
      <c r="L18" s="398"/>
      <c r="M18" s="398"/>
      <c r="N18" s="398"/>
      <c r="O18" s="357"/>
    </row>
    <row r="19" spans="1:15">
      <c r="B19" s="982"/>
      <c r="C19" s="982"/>
      <c r="D19" s="982"/>
      <c r="E19" s="982"/>
      <c r="F19" s="982"/>
      <c r="G19" s="982"/>
      <c r="H19" s="982"/>
      <c r="I19" s="982"/>
      <c r="J19" s="982"/>
      <c r="K19" s="982"/>
      <c r="L19" s="982"/>
      <c r="M19" s="982"/>
      <c r="N19" s="982"/>
    </row>
    <row r="20" spans="1:15">
      <c r="B20" s="982"/>
      <c r="C20" s="982"/>
      <c r="D20" s="982"/>
      <c r="E20" s="982"/>
      <c r="F20" s="982"/>
      <c r="G20" s="982"/>
      <c r="H20" s="982"/>
      <c r="I20" s="982"/>
      <c r="J20" s="982"/>
      <c r="K20" s="982"/>
      <c r="L20" s="982"/>
      <c r="M20" s="982"/>
      <c r="N20" s="982"/>
    </row>
  </sheetData>
  <mergeCells count="2">
    <mergeCell ref="B4:N5"/>
    <mergeCell ref="B19:N20"/>
  </mergeCells>
  <pageMargins left="0.6" right="0.21" top="0.77" bottom="0.74" header="0.5" footer="0.5"/>
  <pageSetup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B1:S31"/>
  <sheetViews>
    <sheetView zoomScaleNormal="100" workbookViewId="0">
      <selection activeCell="O3" sqref="O3"/>
    </sheetView>
  </sheetViews>
  <sheetFormatPr defaultColWidth="9.140625" defaultRowHeight="14.25"/>
  <cols>
    <col min="1" max="1" width="4.85546875" style="401" customWidth="1"/>
    <col min="2" max="2" width="35" style="401" customWidth="1"/>
    <col min="3" max="3" width="28.140625" style="401" customWidth="1"/>
    <col min="4" max="4" width="21.28515625" style="401" customWidth="1"/>
    <col min="5" max="5" width="28.85546875" style="401" customWidth="1"/>
    <col min="6" max="6" width="9.140625" style="401"/>
    <col min="7" max="7" width="16.85546875" style="401" customWidth="1"/>
    <col min="8" max="16384" width="9.140625" style="401"/>
  </cols>
  <sheetData>
    <row r="1" spans="2:19" ht="18">
      <c r="B1" s="400" t="s">
        <v>311</v>
      </c>
    </row>
    <row r="2" spans="2:19" ht="18">
      <c r="B2" s="400"/>
    </row>
    <row r="3" spans="2:19" ht="119.45" customHeight="1">
      <c r="B3" s="983" t="s">
        <v>312</v>
      </c>
      <c r="C3" s="983"/>
      <c r="D3" s="983"/>
      <c r="E3" s="983"/>
      <c r="G3" s="402"/>
      <c r="H3" s="402"/>
      <c r="I3" s="402"/>
      <c r="J3" s="402"/>
      <c r="K3" s="402"/>
      <c r="L3" s="402"/>
      <c r="M3" s="402"/>
      <c r="N3" s="402"/>
      <c r="O3" s="402"/>
      <c r="P3" s="402"/>
      <c r="Q3" s="402"/>
      <c r="R3" s="402"/>
      <c r="S3" s="402"/>
    </row>
    <row r="4" spans="2:19" ht="15.75">
      <c r="B4" s="403"/>
    </row>
    <row r="5" spans="2:19" customFormat="1" ht="15">
      <c r="B5" t="s">
        <v>313</v>
      </c>
    </row>
    <row r="6" spans="2:19" customFormat="1" ht="48">
      <c r="B6" s="476" t="s">
        <v>314</v>
      </c>
      <c r="C6" s="30" t="s">
        <v>315</v>
      </c>
      <c r="D6" s="30" t="s">
        <v>105</v>
      </c>
      <c r="E6" s="280" t="s">
        <v>106</v>
      </c>
      <c r="H6" s="272" t="s">
        <v>316</v>
      </c>
      <c r="I6" s="272" t="s">
        <v>317</v>
      </c>
    </row>
    <row r="7" spans="2:19" customFormat="1" ht="15">
      <c r="B7" s="286" t="s">
        <v>20</v>
      </c>
      <c r="C7" s="618"/>
      <c r="D7" s="285">
        <f>'Ap B - Qtr Electric Master'!M19</f>
        <v>27879.901999999998</v>
      </c>
      <c r="E7" s="284">
        <f>C7/D7</f>
        <v>0</v>
      </c>
      <c r="G7" s="13" t="s">
        <v>318</v>
      </c>
      <c r="H7" s="404">
        <f>$C$10</f>
        <v>0</v>
      </c>
      <c r="I7" s="404">
        <f>$C$17</f>
        <v>0</v>
      </c>
    </row>
    <row r="8" spans="2:19" customFormat="1" ht="15">
      <c r="B8" s="286" t="s">
        <v>87</v>
      </c>
      <c r="C8" s="618"/>
      <c r="D8" s="285">
        <f>'Ap B - Qtr Electric Master'!M32</f>
        <v>2298.1190000000001</v>
      </c>
      <c r="E8" s="284">
        <f>C8/D8</f>
        <v>0</v>
      </c>
      <c r="G8" s="13" t="s">
        <v>319</v>
      </c>
      <c r="H8" s="285"/>
      <c r="I8" s="619"/>
    </row>
    <row r="9" spans="2:19" customFormat="1" ht="15">
      <c r="B9" s="286" t="s">
        <v>99</v>
      </c>
      <c r="C9" s="618"/>
      <c r="D9" s="285">
        <f>'Ap B - Qtr Electric Master'!M26</f>
        <v>37376.024832112467</v>
      </c>
      <c r="E9" s="284">
        <f>C9/D9</f>
        <v>0</v>
      </c>
      <c r="G9" t="s">
        <v>320</v>
      </c>
    </row>
    <row r="10" spans="2:19" customFormat="1" ht="30">
      <c r="B10" s="279" t="s">
        <v>89</v>
      </c>
      <c r="C10" s="283">
        <f>SUM(C7:C9)</f>
        <v>0</v>
      </c>
      <c r="D10" s="283">
        <f>SUM(D7:D9)</f>
        <v>67554.045832112461</v>
      </c>
      <c r="E10" s="282">
        <f>C10/D10</f>
        <v>0</v>
      </c>
    </row>
    <row r="11" spans="2:19" customFormat="1" ht="15"/>
    <row r="12" spans="2:19" customFormat="1" ht="15">
      <c r="B12" t="s">
        <v>321</v>
      </c>
    </row>
    <row r="13" spans="2:19" customFormat="1" ht="24">
      <c r="B13" s="476" t="s">
        <v>314</v>
      </c>
      <c r="C13" s="30" t="s">
        <v>315</v>
      </c>
      <c r="D13" s="30" t="s">
        <v>105</v>
      </c>
      <c r="E13" s="280" t="s">
        <v>106</v>
      </c>
    </row>
    <row r="14" spans="2:19" customFormat="1" ht="15">
      <c r="B14" s="286" t="s">
        <v>20</v>
      </c>
      <c r="C14" s="618"/>
      <c r="D14" s="285">
        <f>'Ap B - Qtr Electric Master'!M19</f>
        <v>27879.901999999998</v>
      </c>
      <c r="E14" s="284">
        <f>C14/D14</f>
        <v>0</v>
      </c>
    </row>
    <row r="15" spans="2:19" customFormat="1" ht="15">
      <c r="B15" s="286" t="s">
        <v>87</v>
      </c>
      <c r="C15" s="618"/>
      <c r="D15" s="285">
        <f>'Ap B - Qtr Electric Master'!M32</f>
        <v>2298.1190000000001</v>
      </c>
      <c r="E15" s="284">
        <f>C15/D15</f>
        <v>0</v>
      </c>
    </row>
    <row r="16" spans="2:19" customFormat="1" ht="15">
      <c r="B16" s="286" t="s">
        <v>99</v>
      </c>
      <c r="C16" s="618"/>
      <c r="D16" s="285">
        <f>'Ap B - Qtr Electric Master'!M26</f>
        <v>37376.024832112467</v>
      </c>
      <c r="E16" s="284">
        <f>C16/D16</f>
        <v>0</v>
      </c>
    </row>
    <row r="17" spans="2:7" customFormat="1" ht="30">
      <c r="B17" s="279" t="s">
        <v>89</v>
      </c>
      <c r="C17" s="283">
        <f>SUM(C14:C16)</f>
        <v>0</v>
      </c>
      <c r="D17" s="283">
        <f>SUM(D14:D16)</f>
        <v>67554.045832112461</v>
      </c>
      <c r="E17" s="282">
        <f>C17/D17</f>
        <v>0</v>
      </c>
    </row>
    <row r="18" spans="2:7" customFormat="1" ht="15" customHeight="1">
      <c r="B18" s="984" t="s">
        <v>322</v>
      </c>
      <c r="C18" s="984"/>
      <c r="D18" s="984"/>
      <c r="G18" s="401"/>
    </row>
    <row r="19" spans="2:7" customFormat="1" ht="51.75" customHeight="1">
      <c r="B19" s="984"/>
      <c r="C19" s="984"/>
      <c r="D19" s="984"/>
    </row>
    <row r="20" spans="2:7" customFormat="1" ht="15">
      <c r="B20" s="405"/>
      <c r="C20" s="338"/>
      <c r="D20" s="338"/>
      <c r="E20" s="338"/>
    </row>
    <row r="21" spans="2:7" customFormat="1" ht="15">
      <c r="B21" s="342"/>
      <c r="C21" s="33"/>
      <c r="D21" s="33"/>
      <c r="E21" s="406"/>
    </row>
    <row r="22" spans="2:7" customFormat="1" ht="15">
      <c r="B22" s="342"/>
      <c r="C22" s="33"/>
      <c r="D22" s="33"/>
      <c r="E22" s="406"/>
      <c r="G22" t="s">
        <v>323</v>
      </c>
    </row>
    <row r="23" spans="2:7" customFormat="1" ht="15">
      <c r="B23" s="342"/>
      <c r="C23" s="33"/>
      <c r="D23" s="33"/>
      <c r="E23" s="406"/>
    </row>
    <row r="24" spans="2:7" customFormat="1" ht="15">
      <c r="B24" s="342"/>
      <c r="C24" s="33"/>
      <c r="D24" s="33"/>
      <c r="E24" s="406"/>
    </row>
    <row r="25" spans="2:7" customFormat="1" ht="15">
      <c r="B25" s="342"/>
      <c r="C25" s="33"/>
      <c r="D25" s="33"/>
      <c r="E25" s="406"/>
    </row>
    <row r="26" spans="2:7" customFormat="1" ht="15">
      <c r="B26" s="342"/>
      <c r="C26" s="33"/>
      <c r="D26" s="33"/>
      <c r="E26" s="406"/>
    </row>
    <row r="27" spans="2:7" customFormat="1" ht="15">
      <c r="B27" s="342"/>
      <c r="C27" s="33"/>
      <c r="D27" s="33"/>
      <c r="E27" s="406"/>
    </row>
    <row r="28" spans="2:7" customFormat="1" ht="15">
      <c r="B28" s="342"/>
      <c r="C28" s="33"/>
      <c r="D28" s="33"/>
      <c r="E28" s="406"/>
    </row>
    <row r="29" spans="2:7" customFormat="1" ht="15">
      <c r="B29" s="342"/>
      <c r="C29" s="33"/>
      <c r="D29" s="33"/>
      <c r="E29" s="406"/>
    </row>
    <row r="30" spans="2:7" customFormat="1" ht="15"/>
    <row r="31" spans="2:7" customFormat="1" ht="15"/>
  </sheetData>
  <mergeCells count="2">
    <mergeCell ref="B3:E3"/>
    <mergeCell ref="B18:D19"/>
  </mergeCells>
  <pageMargins left="0.45" right="0.45"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B1:D16"/>
  <sheetViews>
    <sheetView showGridLines="0" zoomScaleNormal="100" workbookViewId="0">
      <selection activeCell="A10" sqref="A10"/>
    </sheetView>
  </sheetViews>
  <sheetFormatPr defaultColWidth="9.140625" defaultRowHeight="14.25"/>
  <cols>
    <col min="1" max="1" width="4.140625" style="401" customWidth="1"/>
    <col min="2" max="2" width="33.42578125" style="401" customWidth="1"/>
    <col min="3" max="3" width="36.42578125" style="401" customWidth="1"/>
    <col min="4" max="4" width="28" style="401" customWidth="1"/>
    <col min="5" max="16384" width="9.140625" style="401"/>
  </cols>
  <sheetData>
    <row r="1" spans="2:4" ht="18">
      <c r="B1" s="400" t="s">
        <v>324</v>
      </c>
    </row>
    <row r="2" spans="2:4" ht="18">
      <c r="B2" s="400"/>
    </row>
    <row r="3" spans="2:4" ht="97.15" customHeight="1">
      <c r="B3" s="985" t="s">
        <v>325</v>
      </c>
      <c r="C3" s="985"/>
      <c r="D3" s="985"/>
    </row>
    <row r="5" spans="2:4" ht="21" customHeight="1">
      <c r="B5" s="986" t="s">
        <v>326</v>
      </c>
      <c r="C5" s="986"/>
      <c r="D5" s="407"/>
    </row>
    <row r="6" spans="2:4" ht="18" customHeight="1">
      <c r="B6" s="408" t="s">
        <v>8</v>
      </c>
      <c r="C6" s="409" t="s">
        <v>327</v>
      </c>
      <c r="D6" s="410"/>
    </row>
    <row r="7" spans="2:4" ht="30" customHeight="1">
      <c r="B7" s="474" t="s">
        <v>328</v>
      </c>
      <c r="C7" s="556"/>
    </row>
    <row r="8" spans="2:4" ht="30" customHeight="1">
      <c r="B8" s="474" t="s">
        <v>143</v>
      </c>
      <c r="C8" s="554"/>
    </row>
    <row r="9" spans="2:4" ht="30" customHeight="1">
      <c r="B9" s="474" t="s">
        <v>30</v>
      </c>
      <c r="C9" s="554"/>
    </row>
    <row r="10" spans="2:4" ht="30" customHeight="1">
      <c r="B10" s="474" t="s">
        <v>31</v>
      </c>
      <c r="C10" s="554"/>
    </row>
    <row r="11" spans="2:4" ht="30" customHeight="1">
      <c r="B11" s="474" t="s">
        <v>40</v>
      </c>
      <c r="C11" s="554"/>
    </row>
    <row r="12" spans="2:4" ht="30" customHeight="1">
      <c r="B12" s="474" t="s">
        <v>329</v>
      </c>
      <c r="C12" s="555"/>
    </row>
    <row r="13" spans="2:4" ht="30" customHeight="1">
      <c r="B13" s="474" t="s">
        <v>330</v>
      </c>
      <c r="C13" s="555"/>
    </row>
    <row r="14" spans="2:4" ht="30" customHeight="1">
      <c r="B14" s="474" t="s">
        <v>331</v>
      </c>
      <c r="C14" s="555"/>
    </row>
    <row r="15" spans="2:4" ht="30" customHeight="1">
      <c r="B15" s="474" t="s">
        <v>332</v>
      </c>
      <c r="C15" s="555"/>
    </row>
    <row r="16" spans="2:4" ht="17.25">
      <c r="B16" s="475" t="s">
        <v>333</v>
      </c>
      <c r="C16" s="473">
        <f>SUM(C7:C15)</f>
        <v>0</v>
      </c>
    </row>
  </sheetData>
  <mergeCells count="2">
    <mergeCell ref="B3:D3"/>
    <mergeCell ref="B5:C5"/>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FF1E8-0261-4D1C-AFE2-B4EAD33C0B42}">
  <sheetPr>
    <tabColor theme="4" tint="0.39997558519241921"/>
  </sheetPr>
  <dimension ref="A2:M49"/>
  <sheetViews>
    <sheetView showGridLines="0" zoomScale="90" zoomScaleNormal="90" workbookViewId="0">
      <selection activeCell="M9" sqref="M9"/>
    </sheetView>
  </sheetViews>
  <sheetFormatPr defaultColWidth="8.85546875" defaultRowHeight="15"/>
  <cols>
    <col min="1" max="1" width="8.85546875" customWidth="1"/>
    <col min="2" max="2" width="60.85546875" customWidth="1"/>
    <col min="3" max="3" width="13.42578125" bestFit="1" customWidth="1"/>
    <col min="4" max="4" width="13.7109375" customWidth="1"/>
    <col min="5" max="5" width="10.85546875" customWidth="1"/>
    <col min="6" max="6" width="12" bestFit="1" customWidth="1"/>
    <col min="7" max="7" width="13.42578125" bestFit="1" customWidth="1"/>
    <col min="8" max="13" width="14.140625" style="4" customWidth="1"/>
    <col min="14" max="14" width="14.140625" customWidth="1"/>
  </cols>
  <sheetData>
    <row r="2" spans="1:13" ht="15.75" thickBot="1">
      <c r="B2" t="s">
        <v>334</v>
      </c>
    </row>
    <row r="3" spans="1:13" ht="45">
      <c r="B3" s="477"/>
      <c r="C3" s="297" t="s">
        <v>20</v>
      </c>
      <c r="D3" s="296" t="s">
        <v>335</v>
      </c>
      <c r="E3" s="296" t="s">
        <v>239</v>
      </c>
      <c r="F3" s="296" t="s">
        <v>336</v>
      </c>
      <c r="G3" s="295" t="s">
        <v>337</v>
      </c>
      <c r="H3" s="478" t="s">
        <v>21</v>
      </c>
      <c r="I3" s="479" t="s">
        <v>147</v>
      </c>
      <c r="J3" s="479" t="s">
        <v>36</v>
      </c>
      <c r="K3" s="479" t="s">
        <v>28</v>
      </c>
      <c r="L3" s="479" t="s">
        <v>170</v>
      </c>
      <c r="M3" s="480" t="s">
        <v>40</v>
      </c>
    </row>
    <row r="4" spans="1:13">
      <c r="A4" s="689" t="s">
        <v>338</v>
      </c>
      <c r="B4" s="690"/>
      <c r="C4" s="691"/>
      <c r="D4" s="690"/>
      <c r="E4" s="690"/>
      <c r="F4" s="690"/>
      <c r="G4" s="692"/>
      <c r="H4" s="693" t="s">
        <v>339</v>
      </c>
      <c r="I4" s="694" t="s">
        <v>340</v>
      </c>
      <c r="J4" s="694" t="s">
        <v>341</v>
      </c>
      <c r="K4" s="694" t="s">
        <v>342</v>
      </c>
      <c r="L4" s="695"/>
      <c r="M4" s="696"/>
    </row>
    <row r="5" spans="1:13">
      <c r="A5">
        <v>1</v>
      </c>
      <c r="B5" t="s">
        <v>343</v>
      </c>
      <c r="C5" s="425">
        <f>SUM(H5,K5)</f>
        <v>0</v>
      </c>
      <c r="D5" s="481">
        <f>SUM(I5,J5)</f>
        <v>0</v>
      </c>
      <c r="E5" s="481">
        <f>M5</f>
        <v>0</v>
      </c>
      <c r="F5" s="481">
        <f>L5</f>
        <v>0</v>
      </c>
      <c r="G5" s="482">
        <f>SUM(C5:F5)</f>
        <v>0</v>
      </c>
      <c r="H5" s="422">
        <v>0</v>
      </c>
      <c r="I5" s="4">
        <v>0</v>
      </c>
      <c r="J5" s="4">
        <v>0</v>
      </c>
      <c r="K5" s="4">
        <v>0</v>
      </c>
      <c r="L5" s="4">
        <v>0</v>
      </c>
      <c r="M5" s="423">
        <v>0</v>
      </c>
    </row>
    <row r="6" spans="1:13">
      <c r="A6">
        <v>2</v>
      </c>
      <c r="B6" t="s">
        <v>344</v>
      </c>
      <c r="C6" s="425">
        <f t="shared" ref="C6:C16" si="0">SUM(H6,K6)</f>
        <v>0</v>
      </c>
      <c r="D6" s="481">
        <f t="shared" ref="D6:D16" si="1">SUM(I6,J6)</f>
        <v>0</v>
      </c>
      <c r="E6" s="481">
        <f t="shared" ref="E6:E16" si="2">M6</f>
        <v>0</v>
      </c>
      <c r="F6" s="481">
        <f t="shared" ref="F6:F16" si="3">L6</f>
        <v>0</v>
      </c>
      <c r="G6" s="482">
        <f t="shared" ref="G6:G16" si="4">SUM(C6:F6)</f>
        <v>0</v>
      </c>
      <c r="H6" s="422">
        <v>0</v>
      </c>
      <c r="I6" s="4">
        <v>0</v>
      </c>
      <c r="J6" s="4">
        <v>0</v>
      </c>
      <c r="K6" s="4">
        <v>0</v>
      </c>
      <c r="L6" s="4">
        <v>0</v>
      </c>
      <c r="M6" s="423">
        <v>0</v>
      </c>
    </row>
    <row r="7" spans="1:13">
      <c r="A7">
        <v>3</v>
      </c>
      <c r="B7" t="s">
        <v>345</v>
      </c>
      <c r="C7" s="425">
        <f t="shared" si="0"/>
        <v>0</v>
      </c>
      <c r="D7" s="481">
        <f t="shared" si="1"/>
        <v>0</v>
      </c>
      <c r="E7" s="481">
        <f t="shared" si="2"/>
        <v>0</v>
      </c>
      <c r="F7" s="481">
        <f t="shared" si="3"/>
        <v>0</v>
      </c>
      <c r="G7" s="482">
        <f t="shared" si="4"/>
        <v>0</v>
      </c>
      <c r="H7" s="422">
        <v>0</v>
      </c>
      <c r="I7" s="4">
        <v>0</v>
      </c>
      <c r="J7" s="4">
        <v>0</v>
      </c>
      <c r="K7" s="4">
        <v>0</v>
      </c>
      <c r="L7" s="4">
        <v>0</v>
      </c>
      <c r="M7" s="423">
        <v>0</v>
      </c>
    </row>
    <row r="8" spans="1:13">
      <c r="A8">
        <v>4</v>
      </c>
      <c r="B8" t="s">
        <v>346</v>
      </c>
      <c r="C8" s="425">
        <f t="shared" si="0"/>
        <v>4620362.2240590388</v>
      </c>
      <c r="D8" s="481">
        <f t="shared" si="1"/>
        <v>2887663.8155817701</v>
      </c>
      <c r="E8" s="481">
        <f t="shared" si="2"/>
        <v>0</v>
      </c>
      <c r="F8" s="481">
        <f t="shared" si="3"/>
        <v>1377391.3680461801</v>
      </c>
      <c r="G8" s="482">
        <f t="shared" si="4"/>
        <v>8885417.4076869879</v>
      </c>
      <c r="H8" s="422">
        <v>4589880.4820758495</v>
      </c>
      <c r="I8" s="4">
        <v>0</v>
      </c>
      <c r="J8" s="4">
        <v>2887663.8155817701</v>
      </c>
      <c r="K8" s="4">
        <v>30481.7419831888</v>
      </c>
      <c r="L8" s="4">
        <v>1377391.3680461801</v>
      </c>
      <c r="M8" s="423">
        <v>0</v>
      </c>
    </row>
    <row r="9" spans="1:13">
      <c r="A9">
        <v>5</v>
      </c>
      <c r="B9" t="s">
        <v>347</v>
      </c>
      <c r="C9" s="425">
        <f t="shared" si="0"/>
        <v>601784.26675324503</v>
      </c>
      <c r="D9" s="481">
        <f t="shared" si="1"/>
        <v>611490.45566773799</v>
      </c>
      <c r="E9" s="481">
        <f t="shared" si="2"/>
        <v>0</v>
      </c>
      <c r="F9" s="481">
        <f t="shared" si="3"/>
        <v>363723.02724164998</v>
      </c>
      <c r="G9" s="482">
        <f t="shared" si="4"/>
        <v>1576997.7496626331</v>
      </c>
      <c r="H9" s="422">
        <v>600535.31765057298</v>
      </c>
      <c r="I9" s="4">
        <v>0</v>
      </c>
      <c r="J9" s="4">
        <v>611490.45566773799</v>
      </c>
      <c r="K9" s="4">
        <v>1248.94910267209</v>
      </c>
      <c r="L9" s="4">
        <v>363723.02724164998</v>
      </c>
      <c r="M9" s="423">
        <v>0</v>
      </c>
    </row>
    <row r="10" spans="1:13">
      <c r="A10">
        <v>6</v>
      </c>
      <c r="B10" t="s">
        <v>348</v>
      </c>
      <c r="C10" s="425">
        <f t="shared" si="0"/>
        <v>-217837.812945135</v>
      </c>
      <c r="D10" s="481">
        <f t="shared" si="1"/>
        <v>-77179.924581405299</v>
      </c>
      <c r="E10" s="481">
        <f t="shared" si="2"/>
        <v>0</v>
      </c>
      <c r="F10" s="481">
        <f t="shared" si="3"/>
        <v>0</v>
      </c>
      <c r="G10" s="482">
        <f t="shared" si="4"/>
        <v>-295017.7375265403</v>
      </c>
      <c r="H10" s="422">
        <v>-217837.812945135</v>
      </c>
      <c r="I10" s="4">
        <v>0</v>
      </c>
      <c r="J10" s="4">
        <v>-77179.924581405299</v>
      </c>
      <c r="K10" s="4">
        <v>0</v>
      </c>
      <c r="L10" s="4">
        <v>0</v>
      </c>
      <c r="M10" s="423">
        <v>0</v>
      </c>
    </row>
    <row r="11" spans="1:13">
      <c r="A11">
        <v>7</v>
      </c>
      <c r="B11" t="s">
        <v>349</v>
      </c>
      <c r="C11" s="425">
        <f t="shared" si="0"/>
        <v>0</v>
      </c>
      <c r="D11" s="481">
        <f t="shared" si="1"/>
        <v>0</v>
      </c>
      <c r="E11" s="481">
        <f t="shared" si="2"/>
        <v>0</v>
      </c>
      <c r="F11" s="481">
        <f t="shared" si="3"/>
        <v>0</v>
      </c>
      <c r="G11" s="482">
        <f t="shared" si="4"/>
        <v>0</v>
      </c>
      <c r="H11" s="422">
        <v>0</v>
      </c>
      <c r="I11" s="4">
        <v>0</v>
      </c>
      <c r="J11" s="4">
        <v>0</v>
      </c>
      <c r="K11" s="4">
        <v>0</v>
      </c>
      <c r="L11" s="4">
        <v>0</v>
      </c>
      <c r="M11" s="423">
        <v>0</v>
      </c>
    </row>
    <row r="12" spans="1:13">
      <c r="A12">
        <v>8</v>
      </c>
      <c r="B12" t="s">
        <v>350</v>
      </c>
      <c r="C12" s="425">
        <f t="shared" si="0"/>
        <v>0</v>
      </c>
      <c r="D12" s="481">
        <f t="shared" si="1"/>
        <v>0</v>
      </c>
      <c r="E12" s="481">
        <f t="shared" si="2"/>
        <v>0</v>
      </c>
      <c r="F12" s="481">
        <f t="shared" si="3"/>
        <v>0</v>
      </c>
      <c r="G12" s="482">
        <f t="shared" si="4"/>
        <v>0</v>
      </c>
      <c r="H12" s="422">
        <v>0</v>
      </c>
      <c r="I12" s="4">
        <v>0</v>
      </c>
      <c r="J12" s="4">
        <v>0</v>
      </c>
      <c r="K12" s="4">
        <v>0</v>
      </c>
      <c r="L12" s="4">
        <v>0</v>
      </c>
      <c r="M12" s="423">
        <v>0</v>
      </c>
    </row>
    <row r="13" spans="1:13">
      <c r="B13" s="293" t="s">
        <v>351</v>
      </c>
      <c r="C13" s="483">
        <f>SUM(C5:C12)</f>
        <v>5004308.677867149</v>
      </c>
      <c r="D13" s="483">
        <f t="shared" ref="D13:F13" si="5">SUM(D5:D12)</f>
        <v>3421974.3466681028</v>
      </c>
      <c r="E13" s="483">
        <f t="shared" si="5"/>
        <v>0</v>
      </c>
      <c r="F13" s="483">
        <f t="shared" si="5"/>
        <v>1741114.3952878301</v>
      </c>
      <c r="G13" s="483">
        <f>SUM(G5:G12)</f>
        <v>10167397.41982308</v>
      </c>
      <c r="H13" s="483">
        <f>SUM(H5:H12)</f>
        <v>4972577.9867812879</v>
      </c>
      <c r="I13" s="483">
        <f t="shared" ref="I13:M13" si="6">SUM(I5:I12)</f>
        <v>0</v>
      </c>
      <c r="J13" s="483">
        <f t="shared" si="6"/>
        <v>3421974.3466681028</v>
      </c>
      <c r="K13" s="483">
        <f t="shared" si="6"/>
        <v>31730.69108586089</v>
      </c>
      <c r="L13" s="483">
        <f t="shared" si="6"/>
        <v>1741114.3952878301</v>
      </c>
      <c r="M13" s="483">
        <f t="shared" si="6"/>
        <v>0</v>
      </c>
    </row>
    <row r="14" spans="1:13">
      <c r="A14">
        <v>9</v>
      </c>
      <c r="B14" t="s">
        <v>352</v>
      </c>
      <c r="C14" s="425">
        <f t="shared" si="0"/>
        <v>3539264.7469773497</v>
      </c>
      <c r="D14" s="481">
        <f t="shared" si="1"/>
        <v>3769886.8480523201</v>
      </c>
      <c r="E14" s="481">
        <f t="shared" si="2"/>
        <v>156798.84122594999</v>
      </c>
      <c r="F14" s="481">
        <f t="shared" si="3"/>
        <v>496107.19</v>
      </c>
      <c r="G14" s="482">
        <f t="shared" si="4"/>
        <v>7962057.6262556203</v>
      </c>
      <c r="H14" s="422">
        <v>2089271.0845550101</v>
      </c>
      <c r="I14" s="4">
        <v>1454790.82744243</v>
      </c>
      <c r="J14" s="4">
        <v>2315096.0206098901</v>
      </c>
      <c r="K14" s="4">
        <v>1449993.6624223399</v>
      </c>
      <c r="L14" s="4">
        <v>496107.19</v>
      </c>
      <c r="M14" s="423">
        <v>156798.84122594999</v>
      </c>
    </row>
    <row r="15" spans="1:13">
      <c r="A15">
        <v>10</v>
      </c>
      <c r="B15" t="s">
        <v>353</v>
      </c>
      <c r="C15" s="425">
        <f t="shared" si="0"/>
        <v>1318036.0664976579</v>
      </c>
      <c r="D15" s="481">
        <f t="shared" si="1"/>
        <v>2455480.08</v>
      </c>
      <c r="E15" s="481">
        <f t="shared" si="2"/>
        <v>0</v>
      </c>
      <c r="F15" s="481">
        <f t="shared" si="3"/>
        <v>254445.81</v>
      </c>
      <c r="G15" s="482">
        <f t="shared" si="4"/>
        <v>4027961.956497658</v>
      </c>
      <c r="H15" s="422">
        <v>1225016.5375000001</v>
      </c>
      <c r="I15" s="4">
        <v>0</v>
      </c>
      <c r="J15" s="4">
        <v>2455480.08</v>
      </c>
      <c r="K15" s="4">
        <v>93019.528997657704</v>
      </c>
      <c r="L15" s="4">
        <v>254445.81</v>
      </c>
      <c r="M15" s="423">
        <v>0</v>
      </c>
    </row>
    <row r="16" spans="1:13">
      <c r="A16">
        <v>11</v>
      </c>
      <c r="B16" t="s">
        <v>354</v>
      </c>
      <c r="C16" s="425">
        <f t="shared" si="0"/>
        <v>880375.32783382863</v>
      </c>
      <c r="D16" s="481">
        <f t="shared" si="1"/>
        <v>1210927.73</v>
      </c>
      <c r="E16" s="481">
        <f t="shared" si="2"/>
        <v>0</v>
      </c>
      <c r="F16" s="481">
        <f t="shared" si="3"/>
        <v>254445.81</v>
      </c>
      <c r="G16" s="482">
        <f t="shared" si="4"/>
        <v>2345748.8678338286</v>
      </c>
      <c r="H16" s="422">
        <v>826683.59025617095</v>
      </c>
      <c r="I16" s="4">
        <v>0</v>
      </c>
      <c r="J16" s="4">
        <v>1210927.73</v>
      </c>
      <c r="K16" s="4">
        <v>53691.737577657703</v>
      </c>
      <c r="L16" s="4">
        <v>254445.81</v>
      </c>
      <c r="M16" s="423">
        <v>0</v>
      </c>
    </row>
    <row r="17" spans="1:13">
      <c r="B17" t="s">
        <v>355</v>
      </c>
      <c r="C17" s="425">
        <f>SUM(H17,K17)</f>
        <v>4857300.8134750072</v>
      </c>
      <c r="D17" s="484">
        <f>SUM(D14:D15)</f>
        <v>6225366.9280523201</v>
      </c>
      <c r="E17" s="422">
        <f>SUM(E14:E15)</f>
        <v>156798.84122594999</v>
      </c>
      <c r="F17" s="422">
        <f>SUM(F14:F15)</f>
        <v>750553</v>
      </c>
      <c r="G17" s="482">
        <f>SUM(C17:F17)</f>
        <v>11990019.582753276</v>
      </c>
      <c r="H17" s="422">
        <f>SUM(H14:H15)</f>
        <v>3314287.6220550099</v>
      </c>
      <c r="I17" s="422">
        <f t="shared" ref="I17:M17" si="7">SUM(I14:I15)</f>
        <v>1454790.82744243</v>
      </c>
      <c r="J17" s="422">
        <f t="shared" si="7"/>
        <v>4770576.1006098902</v>
      </c>
      <c r="K17" s="422">
        <f t="shared" si="7"/>
        <v>1543013.1914199977</v>
      </c>
      <c r="L17" s="422">
        <f t="shared" si="7"/>
        <v>750553</v>
      </c>
      <c r="M17" s="485">
        <f t="shared" si="7"/>
        <v>156798.84122594999</v>
      </c>
    </row>
    <row r="18" spans="1:13">
      <c r="B18" s="293" t="s">
        <v>356</v>
      </c>
      <c r="C18" s="486">
        <f>IFERROR(C13/C17,0)</f>
        <v>1.0302653407802778</v>
      </c>
      <c r="D18" s="486">
        <f>IFERROR(D13/D17,0)</f>
        <v>0.54968235386226594</v>
      </c>
      <c r="E18" s="486">
        <f t="shared" ref="E18:F18" si="8">IFERROR(E13/E17,0)</f>
        <v>0</v>
      </c>
      <c r="F18" s="486">
        <f t="shared" si="8"/>
        <v>2.3197754126461825</v>
      </c>
      <c r="G18" s="486">
        <f t="shared" ref="G18" si="9">G13/G17</f>
        <v>0.8479883914825378</v>
      </c>
      <c r="H18" s="486">
        <f>H13/H17</f>
        <v>1.5003459427272223</v>
      </c>
      <c r="I18" s="486">
        <f t="shared" ref="I18:M18" si="10">I13/I17</f>
        <v>0</v>
      </c>
      <c r="J18" s="486">
        <f t="shared" si="10"/>
        <v>0.71730840772682014</v>
      </c>
      <c r="K18" s="486">
        <f t="shared" si="10"/>
        <v>2.056410875960166E-2</v>
      </c>
      <c r="L18" s="486">
        <f t="shared" si="10"/>
        <v>2.3197754126461825</v>
      </c>
      <c r="M18" s="487">
        <f t="shared" si="10"/>
        <v>0</v>
      </c>
    </row>
    <row r="19" spans="1:13">
      <c r="C19" s="291"/>
      <c r="G19" s="290"/>
      <c r="H19" s="422"/>
      <c r="M19" s="423"/>
    </row>
    <row r="20" spans="1:13">
      <c r="A20" s="689" t="s">
        <v>357</v>
      </c>
      <c r="B20" s="690"/>
      <c r="C20" s="691"/>
      <c r="D20" s="690"/>
      <c r="E20" s="690"/>
      <c r="F20" s="690"/>
      <c r="G20" s="692"/>
      <c r="H20" s="697"/>
      <c r="I20" s="695"/>
      <c r="J20" s="695"/>
      <c r="K20" s="695"/>
      <c r="L20" s="695"/>
      <c r="M20" s="696"/>
    </row>
    <row r="21" spans="1:13">
      <c r="A21">
        <v>12</v>
      </c>
      <c r="B21" t="s">
        <v>358</v>
      </c>
      <c r="C21" s="425">
        <f t="shared" ref="C21:C22" si="11">SUM(H21,K21)</f>
        <v>17811851.25247582</v>
      </c>
      <c r="D21" s="481">
        <f t="shared" ref="D21:D22" si="12">SUM(I21,J21)</f>
        <v>9340445.612590095</v>
      </c>
      <c r="E21" s="481">
        <f t="shared" ref="E21:E22" si="13">M21</f>
        <v>0</v>
      </c>
      <c r="F21" s="481">
        <f t="shared" ref="F21:F22" si="14">L21</f>
        <v>5614859.2995833913</v>
      </c>
      <c r="G21" s="482">
        <f t="shared" ref="G21:G22" si="15">SUM(C21:F21)</f>
        <v>32767156.164649308</v>
      </c>
      <c r="H21" s="422">
        <v>17639029.582750607</v>
      </c>
      <c r="I21" s="4">
        <v>0</v>
      </c>
      <c r="J21" s="4">
        <v>9340445.612590095</v>
      </c>
      <c r="K21" s="4">
        <v>172821.66972521271</v>
      </c>
      <c r="L21" s="4">
        <v>5614859.2995833913</v>
      </c>
      <c r="M21" s="423">
        <v>0</v>
      </c>
    </row>
    <row r="22" spans="1:13">
      <c r="A22">
        <v>13</v>
      </c>
      <c r="B22" t="s">
        <v>359</v>
      </c>
      <c r="C22" s="425">
        <f t="shared" si="11"/>
        <v>1318036.0664976579</v>
      </c>
      <c r="D22" s="481">
        <f t="shared" si="12"/>
        <v>2455480.08</v>
      </c>
      <c r="E22" s="481">
        <f t="shared" si="13"/>
        <v>0</v>
      </c>
      <c r="F22" s="481">
        <f t="shared" si="14"/>
        <v>220878.44000000099</v>
      </c>
      <c r="G22" s="482">
        <f t="shared" si="15"/>
        <v>3994394.5864976589</v>
      </c>
      <c r="H22" s="422">
        <v>1225016.5375000001</v>
      </c>
      <c r="I22" s="4">
        <v>0</v>
      </c>
      <c r="J22" s="4">
        <v>2455480.08</v>
      </c>
      <c r="K22" s="4">
        <v>93019.528997657704</v>
      </c>
      <c r="L22" s="4">
        <v>220878.44000000099</v>
      </c>
      <c r="M22" s="423"/>
    </row>
    <row r="23" spans="1:13">
      <c r="B23" s="292" t="s">
        <v>360</v>
      </c>
      <c r="C23" s="486">
        <f>IFERROR(C21/C22,0)</f>
        <v>13.513933120059633</v>
      </c>
      <c r="D23" s="486">
        <f t="shared" ref="D23:F23" si="16">IFERROR(D21/D22,0)</f>
        <v>3.8039183004042512</v>
      </c>
      <c r="E23" s="486">
        <f t="shared" si="16"/>
        <v>0</v>
      </c>
      <c r="F23" s="486">
        <f t="shared" si="16"/>
        <v>25.420585637889175</v>
      </c>
      <c r="G23" s="486">
        <f t="shared" ref="G23" si="17">G21/G22</f>
        <v>8.2032847419263124</v>
      </c>
      <c r="H23" s="486">
        <f>H21/H22</f>
        <v>14.39901343597217</v>
      </c>
      <c r="I23" s="486">
        <f>IFERROR(I21/I22,0)</f>
        <v>0</v>
      </c>
      <c r="J23" s="486">
        <f t="shared" ref="J23:L23" si="18">J21/J22</f>
        <v>3.8039183004042512</v>
      </c>
      <c r="K23" s="486">
        <f t="shared" si="18"/>
        <v>1.8579073834007962</v>
      </c>
      <c r="L23" s="486">
        <f t="shared" si="18"/>
        <v>25.420585637889175</v>
      </c>
      <c r="M23" s="486">
        <f>IFERROR(M21/M22,0)</f>
        <v>0</v>
      </c>
    </row>
    <row r="24" spans="1:13">
      <c r="C24" s="291"/>
      <c r="G24" s="290"/>
      <c r="H24" s="422"/>
      <c r="M24" s="423"/>
    </row>
    <row r="25" spans="1:13">
      <c r="A25" s="689" t="s">
        <v>361</v>
      </c>
      <c r="B25" s="690"/>
      <c r="C25" s="691"/>
      <c r="D25" s="690"/>
      <c r="E25" s="690"/>
      <c r="F25" s="690"/>
      <c r="G25" s="692"/>
      <c r="H25" s="697"/>
      <c r="I25" s="695"/>
      <c r="J25" s="695"/>
      <c r="K25" s="695"/>
      <c r="L25" s="695"/>
      <c r="M25" s="696"/>
    </row>
    <row r="26" spans="1:13">
      <c r="B26" s="292" t="s">
        <v>362</v>
      </c>
      <c r="C26" s="486">
        <f>IFERROR(C13/(C14+C16),0)</f>
        <v>1.1322887369014885</v>
      </c>
      <c r="D26" s="486">
        <f t="shared" ref="D26:F26" si="19">IFERROR(D13/(D14+D16),0)</f>
        <v>0.6870310655102162</v>
      </c>
      <c r="E26" s="486">
        <f t="shared" si="19"/>
        <v>0</v>
      </c>
      <c r="F26" s="486">
        <f t="shared" si="19"/>
        <v>2.3197754126461825</v>
      </c>
      <c r="G26" s="486">
        <f t="shared" ref="G26" si="20">G13/(G14+G16)</f>
        <v>0.98637837503576731</v>
      </c>
      <c r="H26" s="486">
        <f>H13/(H14+H16)</f>
        <v>1.7053001645518653</v>
      </c>
      <c r="I26" s="486">
        <f t="shared" ref="I26:M26" si="21">I13/(I14+I16)</f>
        <v>0</v>
      </c>
      <c r="J26" s="486">
        <f t="shared" si="21"/>
        <v>0.97049100876765504</v>
      </c>
      <c r="K26" s="486">
        <f t="shared" si="21"/>
        <v>2.1101947977855567E-2</v>
      </c>
      <c r="L26" s="486">
        <f t="shared" si="21"/>
        <v>2.3197754126461825</v>
      </c>
      <c r="M26" s="486">
        <f t="shared" si="21"/>
        <v>0</v>
      </c>
    </row>
    <row r="27" spans="1:13">
      <c r="C27" s="291"/>
      <c r="G27" s="290"/>
      <c r="H27" s="422"/>
      <c r="M27" s="423"/>
    </row>
    <row r="28" spans="1:13">
      <c r="A28" s="689" t="s">
        <v>363</v>
      </c>
      <c r="B28" s="690"/>
      <c r="C28" s="691"/>
      <c r="D28" s="690"/>
      <c r="E28" s="690"/>
      <c r="F28" s="690"/>
      <c r="G28" s="692"/>
      <c r="H28" s="697"/>
      <c r="I28" s="695"/>
      <c r="J28" s="695"/>
      <c r="K28" s="695"/>
      <c r="L28" s="695"/>
      <c r="M28" s="696"/>
    </row>
    <row r="29" spans="1:13">
      <c r="A29">
        <v>14</v>
      </c>
      <c r="B29" t="s">
        <v>364</v>
      </c>
      <c r="C29" s="425">
        <f t="shared" ref="C29:C30" si="22">SUM(H29,K29)</f>
        <v>5004308.677867149</v>
      </c>
      <c r="D29" s="481">
        <f t="shared" ref="D29:D30" si="23">SUM(I29,J29)</f>
        <v>3421974.3466681028</v>
      </c>
      <c r="E29" s="481">
        <f t="shared" ref="E29:E30" si="24">M29</f>
        <v>0</v>
      </c>
      <c r="F29" s="481">
        <f t="shared" ref="F29:F30" si="25">L29</f>
        <v>1741114.3952878301</v>
      </c>
      <c r="G29" s="482">
        <f t="shared" ref="G29:G30" si="26">SUM(C29:F29)</f>
        <v>10167397.419823082</v>
      </c>
      <c r="H29" s="4">
        <f>H13</f>
        <v>4972577.9867812879</v>
      </c>
      <c r="I29" s="4">
        <f t="shared" ref="I29:M29" si="27">I13</f>
        <v>0</v>
      </c>
      <c r="J29" s="4">
        <f t="shared" si="27"/>
        <v>3421974.3466681028</v>
      </c>
      <c r="K29" s="4">
        <f t="shared" si="27"/>
        <v>31730.69108586089</v>
      </c>
      <c r="L29" s="4">
        <f t="shared" si="27"/>
        <v>1741114.3952878301</v>
      </c>
      <c r="M29" s="488">
        <f t="shared" si="27"/>
        <v>0</v>
      </c>
    </row>
    <row r="30" spans="1:13">
      <c r="A30">
        <v>15</v>
      </c>
      <c r="B30" t="s">
        <v>365</v>
      </c>
      <c r="C30" s="425">
        <f t="shared" si="22"/>
        <v>21351115.999453172</v>
      </c>
      <c r="D30" s="481">
        <f t="shared" si="23"/>
        <v>13110332.460642416</v>
      </c>
      <c r="E30" s="481">
        <f t="shared" si="24"/>
        <v>156798.84122594999</v>
      </c>
      <c r="F30" s="481">
        <f t="shared" si="25"/>
        <v>6144533.8595833899</v>
      </c>
      <c r="G30" s="482">
        <f t="shared" si="26"/>
        <v>40762781.160904929</v>
      </c>
      <c r="H30" s="422">
        <v>19728300.667305619</v>
      </c>
      <c r="I30" s="4">
        <v>1454790.82744243</v>
      </c>
      <c r="J30" s="4">
        <v>11655541.633199986</v>
      </c>
      <c r="K30" s="4">
        <v>1622815.3321475526</v>
      </c>
      <c r="L30" s="4">
        <v>6144533.8595833899</v>
      </c>
      <c r="M30" s="423">
        <v>156798.84122594999</v>
      </c>
    </row>
    <row r="31" spans="1:13">
      <c r="B31" s="292" t="s">
        <v>366</v>
      </c>
      <c r="C31" s="486">
        <f>IFERROR(C29/C30,0)</f>
        <v>0.23438159757060545</v>
      </c>
      <c r="D31" s="486">
        <f t="shared" ref="D31:F31" si="28">IFERROR(D29/D30,0)</f>
        <v>0.26101354461764914</v>
      </c>
      <c r="E31" s="486">
        <f t="shared" si="28"/>
        <v>0</v>
      </c>
      <c r="F31" s="486">
        <f t="shared" si="28"/>
        <v>0.28335988295878328</v>
      </c>
      <c r="G31" s="486">
        <f t="shared" ref="G31" si="29">G29/G30</f>
        <v>0.24942845238377662</v>
      </c>
      <c r="H31" s="486">
        <f>H29/H30</f>
        <v>0.25205303136027352</v>
      </c>
      <c r="I31" s="486">
        <f t="shared" ref="I31:M31" si="30">I29/I30</f>
        <v>0</v>
      </c>
      <c r="J31" s="486">
        <f t="shared" si="30"/>
        <v>0.29359204868874139</v>
      </c>
      <c r="K31" s="486">
        <f t="shared" si="30"/>
        <v>1.9552866217914074E-2</v>
      </c>
      <c r="L31" s="486">
        <f t="shared" si="30"/>
        <v>0.28335988295878328</v>
      </c>
      <c r="M31" s="486">
        <f t="shared" si="30"/>
        <v>0</v>
      </c>
    </row>
    <row r="32" spans="1:13">
      <c r="C32" s="291"/>
      <c r="G32" s="290"/>
      <c r="H32" s="422"/>
      <c r="M32" s="423"/>
    </row>
    <row r="33" spans="1:13">
      <c r="A33" s="689" t="s">
        <v>367</v>
      </c>
      <c r="B33" s="690"/>
      <c r="C33" s="691"/>
      <c r="D33" s="690"/>
      <c r="E33" s="690"/>
      <c r="F33" s="690"/>
      <c r="G33" s="692"/>
      <c r="H33" s="697"/>
      <c r="I33" s="695"/>
      <c r="J33" s="695"/>
      <c r="K33" s="695"/>
      <c r="L33" s="695"/>
      <c r="M33" s="696"/>
    </row>
    <row r="34" spans="1:13">
      <c r="A34">
        <v>16</v>
      </c>
      <c r="B34" t="s">
        <v>343</v>
      </c>
      <c r="C34" s="425">
        <f t="shared" ref="C34:C42" si="31">SUM(H34,K34)</f>
        <v>0</v>
      </c>
      <c r="D34" s="481">
        <f t="shared" ref="D34:D42" si="32">SUM(I34,J34)</f>
        <v>0</v>
      </c>
      <c r="E34" s="481">
        <f t="shared" ref="E34:E47" si="33">M34</f>
        <v>0</v>
      </c>
      <c r="F34" s="481">
        <f t="shared" ref="F34:F42" si="34">L34</f>
        <v>0</v>
      </c>
      <c r="G34" s="482">
        <f t="shared" ref="G34:G48" si="35">SUM(C34:F34)</f>
        <v>0</v>
      </c>
      <c r="H34" s="422">
        <v>0</v>
      </c>
      <c r="I34" s="4">
        <v>0</v>
      </c>
      <c r="J34" s="4">
        <v>0</v>
      </c>
      <c r="K34" s="4">
        <v>0</v>
      </c>
      <c r="L34" s="4">
        <v>0</v>
      </c>
      <c r="M34" s="423">
        <v>0</v>
      </c>
    </row>
    <row r="35" spans="1:13">
      <c r="A35">
        <v>17</v>
      </c>
      <c r="B35" t="s">
        <v>344</v>
      </c>
      <c r="C35" s="425">
        <f t="shared" si="31"/>
        <v>0</v>
      </c>
      <c r="D35" s="481">
        <f t="shared" si="32"/>
        <v>0</v>
      </c>
      <c r="E35" s="481">
        <f t="shared" si="33"/>
        <v>0</v>
      </c>
      <c r="F35" s="481">
        <f t="shared" si="34"/>
        <v>0</v>
      </c>
      <c r="G35" s="482">
        <f t="shared" si="35"/>
        <v>0</v>
      </c>
      <c r="H35" s="422">
        <v>0</v>
      </c>
      <c r="I35" s="4">
        <v>0</v>
      </c>
      <c r="J35" s="4">
        <v>0</v>
      </c>
      <c r="K35" s="4">
        <v>0</v>
      </c>
      <c r="L35" s="4">
        <v>0</v>
      </c>
      <c r="M35" s="423">
        <v>0</v>
      </c>
    </row>
    <row r="36" spans="1:13">
      <c r="A36">
        <v>18</v>
      </c>
      <c r="B36" t="s">
        <v>345</v>
      </c>
      <c r="C36" s="425">
        <f t="shared" si="31"/>
        <v>0</v>
      </c>
      <c r="D36" s="481">
        <f t="shared" si="32"/>
        <v>0</v>
      </c>
      <c r="E36" s="481">
        <f t="shared" si="33"/>
        <v>0</v>
      </c>
      <c r="F36" s="481">
        <f t="shared" si="34"/>
        <v>0</v>
      </c>
      <c r="G36" s="482">
        <f t="shared" si="35"/>
        <v>0</v>
      </c>
      <c r="H36" s="422">
        <v>0</v>
      </c>
      <c r="I36" s="4">
        <v>0</v>
      </c>
      <c r="J36" s="4">
        <v>0</v>
      </c>
      <c r="K36" s="4">
        <v>0</v>
      </c>
      <c r="L36" s="4">
        <v>0</v>
      </c>
      <c r="M36" s="423">
        <v>0</v>
      </c>
    </row>
    <row r="37" spans="1:13">
      <c r="A37">
        <v>19</v>
      </c>
      <c r="B37" t="s">
        <v>346</v>
      </c>
      <c r="C37" s="425">
        <f t="shared" si="31"/>
        <v>13563445.223893972</v>
      </c>
      <c r="D37" s="481">
        <f t="shared" si="32"/>
        <v>6767899.6922856104</v>
      </c>
      <c r="E37" s="481">
        <f t="shared" si="33"/>
        <v>0</v>
      </c>
      <c r="F37" s="481">
        <f t="shared" si="34"/>
        <v>3840063.98022677</v>
      </c>
      <c r="G37" s="482">
        <f t="shared" si="35"/>
        <v>24171408.896406353</v>
      </c>
      <c r="H37" s="422">
        <v>13468856.445981899</v>
      </c>
      <c r="I37" s="4">
        <v>0</v>
      </c>
      <c r="J37" s="4">
        <v>6767899.6922856104</v>
      </c>
      <c r="K37" s="4">
        <v>94588.777912072896</v>
      </c>
      <c r="L37" s="4">
        <v>3840063.98022677</v>
      </c>
      <c r="M37" s="423">
        <v>0</v>
      </c>
    </row>
    <row r="38" spans="1:13">
      <c r="A38">
        <v>20</v>
      </c>
      <c r="B38" t="s">
        <v>347</v>
      </c>
      <c r="C38" s="425">
        <f t="shared" si="31"/>
        <v>652197.48074267874</v>
      </c>
      <c r="D38" s="481">
        <f t="shared" si="32"/>
        <v>744953.91201664403</v>
      </c>
      <c r="E38" s="481">
        <f t="shared" si="33"/>
        <v>0</v>
      </c>
      <c r="F38" s="481">
        <f t="shared" si="34"/>
        <v>347832.20284424</v>
      </c>
      <c r="G38" s="482">
        <f t="shared" si="35"/>
        <v>1744983.5956035627</v>
      </c>
      <c r="H38" s="422">
        <v>650889.39760471601</v>
      </c>
      <c r="I38" s="4">
        <v>0</v>
      </c>
      <c r="J38" s="4">
        <v>744953.91201664403</v>
      </c>
      <c r="K38" s="4">
        <v>1308.08313796274</v>
      </c>
      <c r="L38" s="4">
        <v>347832.20284424</v>
      </c>
      <c r="M38" s="423">
        <v>0</v>
      </c>
    </row>
    <row r="39" spans="1:13">
      <c r="A39">
        <v>21</v>
      </c>
      <c r="B39" t="s">
        <v>348</v>
      </c>
      <c r="C39" s="425">
        <f t="shared" si="31"/>
        <v>-898485.14716465306</v>
      </c>
      <c r="D39" s="481">
        <f t="shared" si="32"/>
        <v>-226054.120764769</v>
      </c>
      <c r="E39" s="481">
        <f t="shared" si="33"/>
        <v>0</v>
      </c>
      <c r="F39" s="481">
        <f t="shared" si="34"/>
        <v>0</v>
      </c>
      <c r="G39" s="482">
        <f t="shared" si="35"/>
        <v>-1124539.267929422</v>
      </c>
      <c r="H39" s="422">
        <v>-898485.14716465306</v>
      </c>
      <c r="I39" s="4">
        <v>0</v>
      </c>
      <c r="J39" s="4">
        <v>-226054.120764769</v>
      </c>
      <c r="K39" s="4">
        <v>0</v>
      </c>
      <c r="L39" s="4">
        <v>0</v>
      </c>
      <c r="M39" s="423">
        <v>0</v>
      </c>
    </row>
    <row r="40" spans="1:13">
      <c r="A40">
        <v>22</v>
      </c>
      <c r="B40" t="s">
        <v>349</v>
      </c>
      <c r="C40" s="425">
        <f t="shared" si="31"/>
        <v>-282462.5346209553</v>
      </c>
      <c r="D40" s="481">
        <f t="shared" si="32"/>
        <v>-97125.229753235602</v>
      </c>
      <c r="E40" s="481">
        <f t="shared" si="33"/>
        <v>0</v>
      </c>
      <c r="F40" s="481">
        <f t="shared" si="34"/>
        <v>1808.6323599960101</v>
      </c>
      <c r="G40" s="482">
        <f t="shared" si="35"/>
        <v>-377779.13201419485</v>
      </c>
      <c r="H40" s="422">
        <v>-282504.58601559902</v>
      </c>
      <c r="I40" s="4">
        <v>0</v>
      </c>
      <c r="J40" s="4">
        <v>-97125.229753235602</v>
      </c>
      <c r="K40" s="4">
        <v>42.051394643725303</v>
      </c>
      <c r="L40" s="4">
        <v>1808.6323599960101</v>
      </c>
      <c r="M40" s="423">
        <v>0</v>
      </c>
    </row>
    <row r="41" spans="1:13">
      <c r="A41">
        <v>23</v>
      </c>
      <c r="B41" t="s">
        <v>350</v>
      </c>
      <c r="C41" s="425">
        <f t="shared" si="31"/>
        <v>862399.84243803995</v>
      </c>
      <c r="D41" s="481">
        <f t="shared" si="32"/>
        <v>561002.35310783703</v>
      </c>
      <c r="E41" s="481">
        <f t="shared" si="33"/>
        <v>0</v>
      </c>
      <c r="F41" s="481">
        <f t="shared" si="34"/>
        <v>254650.38235319901</v>
      </c>
      <c r="G41" s="482">
        <f t="shared" si="35"/>
        <v>1678052.5778990758</v>
      </c>
      <c r="H41" s="422">
        <v>856583.70886726095</v>
      </c>
      <c r="I41" s="4">
        <v>0</v>
      </c>
      <c r="J41" s="4">
        <v>561002.35310783703</v>
      </c>
      <c r="K41" s="4">
        <v>5816.1335707789904</v>
      </c>
      <c r="L41" s="4">
        <v>254650.38235319901</v>
      </c>
      <c r="M41" s="423">
        <v>0</v>
      </c>
    </row>
    <row r="42" spans="1:13">
      <c r="A42">
        <v>24</v>
      </c>
      <c r="B42" t="s">
        <v>368</v>
      </c>
      <c r="C42" s="425">
        <f t="shared" si="31"/>
        <v>720548.07071649889</v>
      </c>
      <c r="D42" s="481">
        <f t="shared" si="32"/>
        <v>375642.68021511199</v>
      </c>
      <c r="E42" s="481">
        <f t="shared" si="33"/>
        <v>0</v>
      </c>
      <c r="F42" s="481">
        <f t="shared" si="34"/>
        <v>209394.809153551</v>
      </c>
      <c r="G42" s="482">
        <f t="shared" si="35"/>
        <v>1305585.5600851618</v>
      </c>
      <c r="H42" s="422">
        <v>713586.820716633</v>
      </c>
      <c r="I42" s="4">
        <v>0</v>
      </c>
      <c r="J42" s="4">
        <v>375642.68021511199</v>
      </c>
      <c r="K42" s="4">
        <v>6961.2499998659096</v>
      </c>
      <c r="L42" s="4">
        <v>209394.809153551</v>
      </c>
      <c r="M42" s="423">
        <v>0</v>
      </c>
    </row>
    <row r="43" spans="1:13">
      <c r="A43">
        <v>25</v>
      </c>
      <c r="B43" t="s">
        <v>369</v>
      </c>
      <c r="C43" s="291"/>
      <c r="E43" s="481"/>
      <c r="G43" s="290"/>
      <c r="H43" s="422"/>
      <c r="M43" s="423"/>
    </row>
    <row r="44" spans="1:13">
      <c r="B44" s="292" t="s">
        <v>370</v>
      </c>
      <c r="C44" s="483">
        <f>SUM(C34:C43)</f>
        <v>14617642.936005581</v>
      </c>
      <c r="D44" s="483">
        <f t="shared" ref="D44:F44" si="36">SUM(D34:D43)</f>
        <v>8126319.2871071994</v>
      </c>
      <c r="E44" s="483">
        <f t="shared" si="36"/>
        <v>0</v>
      </c>
      <c r="F44" s="483">
        <f t="shared" si="36"/>
        <v>4653750.0069377562</v>
      </c>
      <c r="G44" s="424">
        <f t="shared" si="35"/>
        <v>27397712.230050538</v>
      </c>
      <c r="H44" s="483">
        <f>SUM(H34:H43)</f>
        <v>14508926.639990257</v>
      </c>
      <c r="I44" s="483">
        <f t="shared" ref="I44:M44" si="37">SUM(I34:I43)</f>
        <v>0</v>
      </c>
      <c r="J44" s="483">
        <f t="shared" si="37"/>
        <v>8126319.2871071994</v>
      </c>
      <c r="K44" s="483">
        <f t="shared" si="37"/>
        <v>108716.29601532425</v>
      </c>
      <c r="L44" s="483">
        <f t="shared" si="37"/>
        <v>4653750.0069377562</v>
      </c>
      <c r="M44" s="483">
        <f t="shared" si="37"/>
        <v>0</v>
      </c>
    </row>
    <row r="45" spans="1:13">
      <c r="A45">
        <v>26</v>
      </c>
      <c r="B45" t="s">
        <v>352</v>
      </c>
      <c r="C45" s="425">
        <f t="shared" ref="C45:C46" si="38">SUM(H45,K45)</f>
        <v>3539264.7469773497</v>
      </c>
      <c r="D45" s="481">
        <f t="shared" ref="D45:D47" si="39">SUM(I45,J45)</f>
        <v>3769886.8480523201</v>
      </c>
      <c r="E45" s="481">
        <f t="shared" si="33"/>
        <v>156798.84122594999</v>
      </c>
      <c r="F45" s="481">
        <f t="shared" ref="F45:F47" si="40">L45</f>
        <v>496107.19</v>
      </c>
      <c r="G45" s="482">
        <f t="shared" si="35"/>
        <v>7962057.6262556203</v>
      </c>
      <c r="H45" s="422">
        <v>2089271.0845550101</v>
      </c>
      <c r="I45" s="4">
        <v>1454790.82744243</v>
      </c>
      <c r="J45" s="4">
        <v>2315096.0206098901</v>
      </c>
      <c r="K45" s="4">
        <v>1449993.6624223399</v>
      </c>
      <c r="L45" s="4">
        <v>496107.19</v>
      </c>
      <c r="M45" s="423">
        <v>156798.84122594999</v>
      </c>
    </row>
    <row r="46" spans="1:13">
      <c r="A46">
        <v>27</v>
      </c>
      <c r="B46" t="s">
        <v>353</v>
      </c>
      <c r="C46" s="425">
        <f t="shared" si="38"/>
        <v>1318036.0664976579</v>
      </c>
      <c r="D46" s="481">
        <f t="shared" si="39"/>
        <v>2455480.08</v>
      </c>
      <c r="E46" s="481">
        <f t="shared" si="33"/>
        <v>0</v>
      </c>
      <c r="F46" s="481">
        <f t="shared" si="40"/>
        <v>254445.81</v>
      </c>
      <c r="G46" s="482">
        <f t="shared" si="35"/>
        <v>4027961.956497658</v>
      </c>
      <c r="H46" s="422">
        <v>1225016.5375000001</v>
      </c>
      <c r="I46" s="4">
        <v>0</v>
      </c>
      <c r="J46" s="4">
        <v>2455480.08</v>
      </c>
      <c r="K46" s="4">
        <v>93019.528997657704</v>
      </c>
      <c r="L46" s="4">
        <v>254445.81</v>
      </c>
      <c r="M46" s="423">
        <v>0</v>
      </c>
    </row>
    <row r="47" spans="1:13">
      <c r="A47">
        <v>28</v>
      </c>
      <c r="B47" s="289" t="s">
        <v>354</v>
      </c>
      <c r="C47" s="489">
        <f t="shared" ref="C47" si="41">SUM(H47,K47,L47)</f>
        <v>0</v>
      </c>
      <c r="D47" s="481">
        <f t="shared" si="39"/>
        <v>0</v>
      </c>
      <c r="E47" s="481">
        <f t="shared" si="33"/>
        <v>0</v>
      </c>
      <c r="F47" s="481">
        <f t="shared" si="40"/>
        <v>0</v>
      </c>
      <c r="G47" s="482">
        <f t="shared" si="35"/>
        <v>0</v>
      </c>
      <c r="H47" s="490">
        <v>0</v>
      </c>
      <c r="I47" s="491">
        <v>0</v>
      </c>
      <c r="J47" s="491">
        <v>0</v>
      </c>
      <c r="K47" s="491">
        <v>0</v>
      </c>
      <c r="L47" s="491">
        <v>0</v>
      </c>
      <c r="M47" s="492">
        <v>0</v>
      </c>
    </row>
    <row r="48" spans="1:13">
      <c r="B48" s="288" t="s">
        <v>371</v>
      </c>
      <c r="C48" s="493">
        <f>SUM(C45:C47)</f>
        <v>4857300.8134750072</v>
      </c>
      <c r="D48" s="494">
        <f t="shared" ref="D48:F48" si="42">SUM(D45:D47)</f>
        <v>6225366.9280523201</v>
      </c>
      <c r="E48" s="494">
        <f t="shared" si="42"/>
        <v>156798.84122594999</v>
      </c>
      <c r="F48" s="494">
        <f t="shared" si="42"/>
        <v>750553</v>
      </c>
      <c r="G48" s="495">
        <f t="shared" si="35"/>
        <v>11990019.582753276</v>
      </c>
      <c r="H48" s="493">
        <f>SUM(H45:H47)</f>
        <v>3314287.6220550099</v>
      </c>
      <c r="I48" s="493">
        <f t="shared" ref="I48:M48" si="43">SUM(I45:I47)</f>
        <v>1454790.82744243</v>
      </c>
      <c r="J48" s="493">
        <f t="shared" si="43"/>
        <v>4770576.1006098902</v>
      </c>
      <c r="K48" s="493">
        <f t="shared" si="43"/>
        <v>1543013.1914199977</v>
      </c>
      <c r="L48" s="493">
        <f t="shared" si="43"/>
        <v>750553</v>
      </c>
      <c r="M48" s="496">
        <f t="shared" si="43"/>
        <v>156798.84122594999</v>
      </c>
    </row>
    <row r="49" spans="2:13" ht="15.75" thickBot="1">
      <c r="B49" s="287" t="s">
        <v>372</v>
      </c>
      <c r="C49" s="497">
        <f>IFERROR(C44/C48,0)</f>
        <v>3.0094168546147415</v>
      </c>
      <c r="D49" s="497">
        <f t="shared" ref="D49:F49" si="44">IFERROR(D44/D48,0)</f>
        <v>1.3053558739628566</v>
      </c>
      <c r="E49" s="497">
        <f t="shared" si="44"/>
        <v>0</v>
      </c>
      <c r="F49" s="497">
        <f t="shared" si="44"/>
        <v>6.2004282268377535</v>
      </c>
      <c r="G49" s="497">
        <f t="shared" ref="G49" si="45">G44/G48</f>
        <v>2.285043159517441</v>
      </c>
      <c r="H49" s="497">
        <f>H44/H48</f>
        <v>4.3776908628690645</v>
      </c>
      <c r="I49" s="497">
        <f t="shared" ref="I49:M49" si="46">I44/I48</f>
        <v>0</v>
      </c>
      <c r="J49" s="497">
        <f t="shared" si="46"/>
        <v>1.7034251452499201</v>
      </c>
      <c r="K49" s="497">
        <f t="shared" si="46"/>
        <v>7.0457139718472062E-2</v>
      </c>
      <c r="L49" s="497">
        <f t="shared" si="46"/>
        <v>6.2004282268377535</v>
      </c>
      <c r="M49" s="498">
        <f t="shared" si="46"/>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B2"/>
  <sheetViews>
    <sheetView showGridLines="0" workbookViewId="0">
      <selection activeCell="R18" sqref="R18"/>
    </sheetView>
  </sheetViews>
  <sheetFormatPr defaultRowHeight="15"/>
  <sheetData>
    <row r="2" spans="2:2">
      <c r="B2" s="353" t="s">
        <v>182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9"/>
  <sheetViews>
    <sheetView workbookViewId="0"/>
  </sheetViews>
  <sheetFormatPr defaultRowHeight="15"/>
  <cols>
    <col min="1" max="1" width="51.85546875" bestFit="1" customWidth="1"/>
    <col min="3" max="3" width="7.42578125" bestFit="1" customWidth="1"/>
  </cols>
  <sheetData>
    <row r="1" spans="1:1">
      <c r="A1" s="218" t="s">
        <v>7</v>
      </c>
    </row>
    <row r="2" spans="1:1">
      <c r="A2" s="13" t="s">
        <v>20</v>
      </c>
    </row>
    <row r="3" spans="1:1">
      <c r="A3" s="13" t="s">
        <v>34</v>
      </c>
    </row>
    <row r="4" spans="1:1">
      <c r="A4" s="13" t="s">
        <v>40</v>
      </c>
    </row>
    <row r="5" spans="1:1">
      <c r="A5" s="13" t="s">
        <v>373</v>
      </c>
    </row>
    <row r="7" spans="1:1">
      <c r="A7" s="218" t="s">
        <v>8</v>
      </c>
    </row>
    <row r="8" spans="1:1">
      <c r="A8" s="13" t="s">
        <v>21</v>
      </c>
    </row>
    <row r="9" spans="1:1">
      <c r="A9" s="13" t="s">
        <v>35</v>
      </c>
    </row>
    <row r="10" spans="1:1">
      <c r="A10" s="13" t="s">
        <v>40</v>
      </c>
    </row>
    <row r="12" spans="1:1">
      <c r="A12" s="218" t="s">
        <v>9</v>
      </c>
    </row>
    <row r="13" spans="1:1">
      <c r="A13" s="13" t="s">
        <v>29</v>
      </c>
    </row>
    <row r="14" spans="1:1">
      <c r="A14" s="13" t="s">
        <v>37</v>
      </c>
    </row>
    <row r="15" spans="1:1">
      <c r="A15" s="13" t="s">
        <v>35</v>
      </c>
    </row>
    <row r="17" spans="1:1">
      <c r="A17" s="218" t="s">
        <v>374</v>
      </c>
    </row>
    <row r="18" spans="1:1">
      <c r="A18" s="219" t="s">
        <v>19</v>
      </c>
    </row>
    <row r="19" spans="1:1">
      <c r="A19" s="219" t="s">
        <v>375</v>
      </c>
    </row>
    <row r="20" spans="1:1">
      <c r="A20" s="219" t="s">
        <v>376</v>
      </c>
    </row>
    <row r="21" spans="1:1">
      <c r="A21" s="219" t="s">
        <v>377</v>
      </c>
    </row>
    <row r="22" spans="1:1">
      <c r="A22" s="219" t="s">
        <v>378</v>
      </c>
    </row>
    <row r="23" spans="1:1">
      <c r="A23" s="219" t="s">
        <v>379</v>
      </c>
    </row>
    <row r="24" spans="1:1">
      <c r="A24" s="219" t="s">
        <v>380</v>
      </c>
    </row>
    <row r="27" spans="1:1">
      <c r="A27" s="220" t="s">
        <v>381</v>
      </c>
    </row>
    <row r="28" spans="1:1">
      <c r="A28" s="221" t="s">
        <v>382</v>
      </c>
    </row>
    <row r="29" spans="1:1">
      <c r="A29" s="221" t="s">
        <v>383</v>
      </c>
    </row>
    <row r="30" spans="1:1">
      <c r="A30" s="221" t="s">
        <v>384</v>
      </c>
    </row>
    <row r="31" spans="1:1">
      <c r="A31" s="221" t="s">
        <v>385</v>
      </c>
    </row>
    <row r="32" spans="1:1">
      <c r="A32" s="221" t="s">
        <v>386</v>
      </c>
    </row>
    <row r="33" spans="1:1">
      <c r="A33" s="221" t="s">
        <v>387</v>
      </c>
    </row>
    <row r="34" spans="1:1">
      <c r="A34" s="221" t="s">
        <v>388</v>
      </c>
    </row>
    <row r="35" spans="1:1">
      <c r="A35" s="221" t="s">
        <v>1</v>
      </c>
    </row>
    <row r="36" spans="1:1">
      <c r="A36" s="221" t="s">
        <v>389</v>
      </c>
    </row>
    <row r="37" spans="1:1">
      <c r="A37" s="221" t="s">
        <v>390</v>
      </c>
    </row>
    <row r="38" spans="1:1">
      <c r="A38" s="221" t="s">
        <v>391</v>
      </c>
    </row>
    <row r="39" spans="1:1">
      <c r="A39" s="221" t="s">
        <v>392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I6"/>
  <sheetViews>
    <sheetView showGridLines="0" tabSelected="1" zoomScaleNormal="100" workbookViewId="0">
      <selection activeCell="M15" sqref="M15"/>
    </sheetView>
  </sheetViews>
  <sheetFormatPr defaultRowHeight="15"/>
  <cols>
    <col min="2" max="9" width="18" customWidth="1"/>
  </cols>
  <sheetData>
    <row r="1" spans="1:9" ht="15.75" thickBot="1"/>
    <row r="2" spans="1:9" ht="48">
      <c r="B2" s="6" t="s">
        <v>43</v>
      </c>
      <c r="C2" s="14" t="s">
        <v>44</v>
      </c>
      <c r="D2" s="14" t="s">
        <v>45</v>
      </c>
      <c r="E2" s="14" t="s">
        <v>46</v>
      </c>
      <c r="F2" s="521" t="s">
        <v>47</v>
      </c>
      <c r="G2" s="14" t="s">
        <v>48</v>
      </c>
      <c r="H2" s="14" t="s">
        <v>49</v>
      </c>
      <c r="I2" s="334" t="s">
        <v>50</v>
      </c>
    </row>
    <row r="3" spans="1:9" ht="15.75" thickBot="1">
      <c r="B3" s="335" t="s">
        <v>51</v>
      </c>
      <c r="C3" s="336" t="s">
        <v>52</v>
      </c>
      <c r="D3" s="336" t="s">
        <v>53</v>
      </c>
      <c r="E3" s="336" t="s">
        <v>54</v>
      </c>
      <c r="F3" s="336" t="s">
        <v>55</v>
      </c>
      <c r="G3" s="336" t="s">
        <v>56</v>
      </c>
      <c r="H3" s="336" t="s">
        <v>57</v>
      </c>
      <c r="I3" s="337" t="s">
        <v>58</v>
      </c>
    </row>
    <row r="4" spans="1:9" ht="39.75" customHeight="1">
      <c r="A4" s="503" t="s">
        <v>59</v>
      </c>
      <c r="B4" s="504">
        <f>'Ap B - Qtr Electric Master'!L39-'Table 1'!D4</f>
        <v>7858.75176362</v>
      </c>
      <c r="C4" s="504">
        <f>'Tables 2-6'!B42</f>
        <v>46</v>
      </c>
      <c r="D4" s="505">
        <f>'Ap B - Qtr Electric Master'!L16</f>
        <v>1414.883572</v>
      </c>
      <c r="E4" s="505">
        <f>SUM(B4:D4)</f>
        <v>9319.6353356199998</v>
      </c>
      <c r="F4" s="506"/>
      <c r="G4" s="507"/>
      <c r="H4" s="507"/>
      <c r="I4" s="508"/>
    </row>
    <row r="5" spans="1:9" ht="40.5" customHeight="1" thickBot="1">
      <c r="A5" s="509" t="s">
        <v>60</v>
      </c>
      <c r="B5" s="510">
        <f>'Ap B - Qtr Electric Master'!N39-'Table 1'!D5</f>
        <v>7858.75176362</v>
      </c>
      <c r="C5" s="510">
        <f>'Tables 2-6'!C42</f>
        <v>46</v>
      </c>
      <c r="D5" s="505">
        <f>'Ap B - Qtr Electric Master'!N16</f>
        <v>1414.883572</v>
      </c>
      <c r="E5" s="511">
        <f>SUM(B5:D5)</f>
        <v>9319.6353356199998</v>
      </c>
      <c r="F5" s="511">
        <f>'Ap E - NJ CEA Benchmarks'!H12</f>
        <v>8712502.5665277708</v>
      </c>
      <c r="G5" s="512">
        <f>'Ap E - NJ CEA Benchmarks'!M12</f>
        <v>9.7000000000000003E-3</v>
      </c>
      <c r="H5" s="511">
        <f>F5*G5</f>
        <v>84511.27489531938</v>
      </c>
      <c r="I5" s="513">
        <f>E5/H5</f>
        <v>0.11027682811747719</v>
      </c>
    </row>
    <row r="6" spans="1:9" ht="64.5" customHeight="1">
      <c r="B6" s="902" t="s">
        <v>61</v>
      </c>
      <c r="C6" s="902"/>
      <c r="D6" s="902"/>
      <c r="E6" s="902"/>
      <c r="F6" s="902"/>
      <c r="G6" s="902"/>
      <c r="H6" s="902"/>
      <c r="I6" s="902"/>
    </row>
  </sheetData>
  <mergeCells count="1">
    <mergeCell ref="B6:I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S64"/>
  <sheetViews>
    <sheetView showGridLines="0" topLeftCell="A16" zoomScaleNormal="100" workbookViewId="0">
      <selection activeCell="I19" sqref="I19"/>
    </sheetView>
  </sheetViews>
  <sheetFormatPr defaultRowHeight="15"/>
  <cols>
    <col min="1" max="1" width="50" customWidth="1"/>
    <col min="2" max="2" width="16.42578125" customWidth="1"/>
    <col min="3" max="4" width="13.28515625" customWidth="1"/>
    <col min="5" max="5" width="14.7109375" bestFit="1" customWidth="1"/>
    <col min="6" max="6" width="14.7109375" customWidth="1"/>
    <col min="7" max="8" width="13.28515625" customWidth="1"/>
    <col min="9" max="9" width="14.5703125" customWidth="1"/>
    <col min="10" max="20" width="11.7109375" customWidth="1"/>
  </cols>
  <sheetData>
    <row r="1" spans="1:19" ht="15.75" thickBot="1">
      <c r="A1" t="s">
        <v>62</v>
      </c>
      <c r="M1" t="s">
        <v>63</v>
      </c>
      <c r="N1" t="s">
        <v>64</v>
      </c>
      <c r="P1" s="338"/>
      <c r="Q1" s="338"/>
      <c r="R1" s="339"/>
      <c r="S1" s="340"/>
    </row>
    <row r="2" spans="1:19" ht="15.75" thickBot="1">
      <c r="B2" s="906" t="s">
        <v>59</v>
      </c>
      <c r="C2" s="907"/>
      <c r="D2" s="907"/>
      <c r="E2" s="908"/>
      <c r="F2" s="906" t="s">
        <v>65</v>
      </c>
      <c r="G2" s="907"/>
      <c r="H2" s="907"/>
      <c r="I2" s="908"/>
      <c r="P2" s="338"/>
      <c r="Q2" s="338"/>
      <c r="R2" s="339"/>
      <c r="S2" s="340"/>
    </row>
    <row r="3" spans="1:19" ht="48">
      <c r="A3" s="540"/>
      <c r="B3" s="541" t="s">
        <v>66</v>
      </c>
      <c r="C3" s="14" t="s">
        <v>67</v>
      </c>
      <c r="D3" s="20" t="s">
        <v>68</v>
      </c>
      <c r="E3" s="542" t="s">
        <v>69</v>
      </c>
      <c r="F3" s="6" t="s">
        <v>70</v>
      </c>
      <c r="G3" s="14" t="s">
        <v>71</v>
      </c>
      <c r="H3" s="42" t="s">
        <v>72</v>
      </c>
      <c r="I3" s="542" t="s">
        <v>69</v>
      </c>
      <c r="J3" s="543" t="s">
        <v>73</v>
      </c>
      <c r="K3" s="542" t="s">
        <v>74</v>
      </c>
      <c r="M3" s="341">
        <f>$E$43</f>
        <v>0.13795821139686384</v>
      </c>
      <c r="N3" s="341">
        <f>$E$31</f>
        <v>0.20220483393195207</v>
      </c>
      <c r="P3" s="342"/>
      <c r="Q3" s="340"/>
    </row>
    <row r="4" spans="1:19">
      <c r="A4" s="544" t="s">
        <v>75</v>
      </c>
      <c r="B4" s="539">
        <f>'Table 1'!B4</f>
        <v>7858.75176362</v>
      </c>
      <c r="C4" s="741">
        <v>45.533999999999999</v>
      </c>
      <c r="D4" s="742">
        <f>'Table 1'!D4</f>
        <v>1414.883572</v>
      </c>
      <c r="E4" s="743">
        <f t="shared" ref="E4:E9" si="0">SUM(B4:D4)</f>
        <v>9319.1693356199994</v>
      </c>
      <c r="F4" s="539">
        <f>'Table 1'!B5</f>
        <v>7858.75176362</v>
      </c>
      <c r="G4" s="741">
        <v>45.533999999999999</v>
      </c>
      <c r="H4" s="526">
        <f>'Table 1'!D5</f>
        <v>1414.883572</v>
      </c>
      <c r="I4" s="533">
        <f>SUM(F4:H4)</f>
        <v>9319.1693356199994</v>
      </c>
      <c r="J4" s="529">
        <f>'Ap B - Qtr Electric Master'!M39</f>
        <v>67554.045832112461</v>
      </c>
      <c r="K4" s="545">
        <f>E4/J4</f>
        <v>0.13795131321638834</v>
      </c>
      <c r="P4" s="342"/>
    </row>
    <row r="5" spans="1:19">
      <c r="A5" s="544" t="s">
        <v>76</v>
      </c>
      <c r="B5" s="539">
        <f>'Ap B - Qtr Electric Master'!R39-D5</f>
        <v>94089.661513437284</v>
      </c>
      <c r="C5" s="741">
        <v>795.51499999999999</v>
      </c>
      <c r="D5" s="742">
        <f>'Ap B - Qtr Electric Master'!R16</f>
        <v>18325.96240280287</v>
      </c>
      <c r="E5" s="743">
        <f>SUM(B5:D5)</f>
        <v>113211.13891624016</v>
      </c>
      <c r="F5" s="539">
        <f>'Ap B - Qtr Electric Master'!S39-'Tables 2-6'!H5</f>
        <v>94089.661513437284</v>
      </c>
      <c r="G5" s="741">
        <v>795.51499999999999</v>
      </c>
      <c r="H5" s="526">
        <f>'Ap B - Qtr Electric Master'!S16</f>
        <v>18325.96240280287</v>
      </c>
      <c r="I5" s="527">
        <f t="shared" ref="I5:I9" si="1">SUM(F5:H5)</f>
        <v>113211.13891624016</v>
      </c>
      <c r="J5" s="532"/>
      <c r="K5" s="546"/>
      <c r="P5" s="342"/>
    </row>
    <row r="6" spans="1:19" ht="21.75" customHeight="1">
      <c r="A6" s="544" t="s">
        <v>397</v>
      </c>
      <c r="B6" s="744">
        <f>(B5/B4)*B7</f>
        <v>23.303603955404348</v>
      </c>
      <c r="C6" s="745">
        <f>(C5/C4)*C7</f>
        <v>27.568908288312034</v>
      </c>
      <c r="D6" s="705">
        <f>SUM(('Ap B - Qtr Electric Master'!R16/'Ap B - Qtr Electric Master'!L16)*('Ap B - Qtr Electric Master'!Q16-0))</f>
        <v>1.1954781506727445</v>
      </c>
      <c r="E6" s="706">
        <f>SUM(B6:D6)</f>
        <v>52.067990394389128</v>
      </c>
      <c r="F6" s="707">
        <f>(F5/F4)*F7</f>
        <v>23.303603955404348</v>
      </c>
      <c r="G6" s="745">
        <f>(G5/G4)*G7</f>
        <v>27.568908288312034</v>
      </c>
      <c r="H6" s="708">
        <f>SUM(('Ap B - Qtr Electric Master'!S16/'Ap B - Qtr Electric Master'!N16)*'Ap B - Qtr Electric Master'!Q16)</f>
        <v>1.1954781506727445</v>
      </c>
      <c r="I6" s="709">
        <f>SUM(F6:H6)</f>
        <v>52.067990394389128</v>
      </c>
      <c r="J6" s="547"/>
      <c r="K6" s="548"/>
      <c r="L6" s="342"/>
      <c r="P6" s="342"/>
    </row>
    <row r="7" spans="1:19">
      <c r="A7" s="544" t="s">
        <v>77</v>
      </c>
      <c r="B7" s="746">
        <f>'Ap B - Qtr Electric Master'!Q39-'Tables 2-6'!D7</f>
        <v>1.9464119196249998</v>
      </c>
      <c r="C7" s="747">
        <v>1.5780000000000001</v>
      </c>
      <c r="D7" s="534">
        <f>'Ap B - Qtr Electric Master'!Q16</f>
        <v>9.2298694000000001E-2</v>
      </c>
      <c r="E7" s="535">
        <f>SUM(B7:D7)</f>
        <v>3.616710613625</v>
      </c>
      <c r="F7" s="746">
        <f>'Ap B - Qtr Electric Master'!Q39-'Tables 2-6'!H7</f>
        <v>1.9464119196249998</v>
      </c>
      <c r="G7" s="747">
        <v>1.5780000000000001</v>
      </c>
      <c r="H7" s="536">
        <f>'Ap B - Qtr Electric Master'!Q16</f>
        <v>9.2298694000000001E-2</v>
      </c>
      <c r="I7" s="528">
        <f>SUM(F7:H7)</f>
        <v>3.616710613625</v>
      </c>
      <c r="J7" s="547"/>
      <c r="K7" s="548"/>
      <c r="P7" s="342"/>
    </row>
    <row r="8" spans="1:19">
      <c r="A8" s="544" t="s">
        <v>78</v>
      </c>
      <c r="B8" s="525">
        <f>'Ap B - Qtr Electric Master'!R17</f>
        <v>0</v>
      </c>
      <c r="C8" s="530">
        <f>C5</f>
        <v>795.51499999999999</v>
      </c>
      <c r="D8" s="531"/>
      <c r="E8" s="527">
        <f>SUM(B8:D8)</f>
        <v>795.51499999999999</v>
      </c>
      <c r="F8" s="539">
        <f>'Ap B - Qtr Electric Master'!S17</f>
        <v>0</v>
      </c>
      <c r="G8" s="530">
        <f>G5</f>
        <v>795.51499999999999</v>
      </c>
      <c r="H8" s="531"/>
      <c r="I8" s="527">
        <f t="shared" si="1"/>
        <v>795.51499999999999</v>
      </c>
      <c r="J8" s="547"/>
      <c r="K8" s="548"/>
      <c r="L8" s="342"/>
      <c r="M8" s="342"/>
      <c r="N8" s="342"/>
      <c r="O8" s="342"/>
      <c r="P8" s="342"/>
    </row>
    <row r="9" spans="1:19" ht="15.75" thickBot="1">
      <c r="A9" s="549" t="s">
        <v>79</v>
      </c>
      <c r="B9" s="524">
        <f>' Ap D - Qtr Electric Business'!J20</f>
        <v>2392</v>
      </c>
      <c r="C9" s="523"/>
      <c r="D9" s="537"/>
      <c r="E9" s="538">
        <f t="shared" si="0"/>
        <v>2392</v>
      </c>
      <c r="F9" s="524">
        <f>' Ap D - Qtr Electric Business'!L20</f>
        <v>34732</v>
      </c>
      <c r="G9" s="523"/>
      <c r="H9" s="537"/>
      <c r="I9" s="538">
        <f t="shared" si="1"/>
        <v>34732</v>
      </c>
      <c r="J9" s="550"/>
      <c r="K9" s="551"/>
      <c r="L9" s="342"/>
      <c r="M9" s="342"/>
      <c r="N9" s="342"/>
      <c r="O9" s="342"/>
      <c r="P9" s="342"/>
    </row>
    <row r="10" spans="1:19" ht="18" customHeight="1" thickBot="1">
      <c r="A10" s="687" t="s">
        <v>398</v>
      </c>
      <c r="B10" s="688"/>
      <c r="C10" s="688"/>
      <c r="D10" s="684"/>
      <c r="E10" s="688"/>
      <c r="F10" s="683">
        <f>'AP H - CostTest'!G13</f>
        <v>10167397.41982308</v>
      </c>
      <c r="G10" s="684"/>
      <c r="H10" s="684"/>
      <c r="I10" s="731">
        <f>F10</f>
        <v>10167397.41982308</v>
      </c>
      <c r="J10" s="686"/>
      <c r="K10" s="685"/>
      <c r="L10" s="342"/>
    </row>
    <row r="11" spans="1:19" ht="22.5" customHeight="1">
      <c r="A11" s="560" t="s">
        <v>80</v>
      </c>
      <c r="B11" s="522"/>
      <c r="C11" s="522"/>
      <c r="D11" s="522"/>
      <c r="E11" s="522"/>
      <c r="F11" s="522"/>
      <c r="G11" s="522"/>
      <c r="H11" s="522"/>
      <c r="I11" s="342"/>
      <c r="J11" s="342"/>
      <c r="K11" s="342"/>
      <c r="L11" s="342"/>
    </row>
    <row r="12" spans="1:19">
      <c r="A12" s="522"/>
      <c r="B12" s="522"/>
      <c r="C12" s="522"/>
      <c r="D12" s="522"/>
      <c r="E12" s="522"/>
      <c r="F12" s="522"/>
      <c r="G12" s="522"/>
      <c r="H12" s="522"/>
      <c r="I12" s="342"/>
      <c r="J12" s="342"/>
      <c r="K12" s="342"/>
      <c r="L12" s="342"/>
    </row>
    <row r="13" spans="1:19">
      <c r="B13" s="520"/>
      <c r="C13" s="9"/>
      <c r="D13" s="519"/>
      <c r="I13" s="342"/>
      <c r="J13" s="516"/>
      <c r="K13" s="342"/>
      <c r="L13" s="342"/>
    </row>
    <row r="14" spans="1:19">
      <c r="G14" s="515"/>
      <c r="H14" s="343"/>
      <c r="I14" s="342"/>
      <c r="J14" s="342"/>
      <c r="K14" s="342"/>
      <c r="L14" s="342"/>
    </row>
    <row r="15" spans="1:19">
      <c r="A15" s="342" t="s">
        <v>81</v>
      </c>
      <c r="G15" s="343"/>
      <c r="J15" s="342"/>
      <c r="K15" s="342"/>
      <c r="L15" s="342"/>
    </row>
    <row r="16" spans="1:19" ht="36">
      <c r="A16" s="281" t="s">
        <v>82</v>
      </c>
      <c r="B16" s="281" t="s">
        <v>83</v>
      </c>
      <c r="C16" s="30" t="s">
        <v>84</v>
      </c>
      <c r="D16" s="30" t="s">
        <v>85</v>
      </c>
      <c r="E16" s="280" t="s">
        <v>86</v>
      </c>
      <c r="G16" s="343"/>
      <c r="I16" s="515"/>
    </row>
    <row r="17" spans="1:12">
      <c r="A17" s="286" t="s">
        <v>20</v>
      </c>
      <c r="B17" s="426">
        <f>'Ap B - Qtr Electric Master'!D$19</f>
        <v>249449</v>
      </c>
      <c r="C17" s="426">
        <f>'Ap B - Qtr Electric Master'!F$19</f>
        <v>249449</v>
      </c>
      <c r="D17" s="426">
        <f>'Ap B - Qtr Electric Master'!E$19</f>
        <v>243435</v>
      </c>
      <c r="E17" s="284">
        <f>C17/D17</f>
        <v>1.0247047466469488</v>
      </c>
      <c r="G17" s="343"/>
    </row>
    <row r="18" spans="1:12">
      <c r="A18" s="286" t="s">
        <v>87</v>
      </c>
      <c r="B18" s="427">
        <f>'Ap B - Qtr Electric Master'!D$32</f>
        <v>0</v>
      </c>
      <c r="C18" s="427">
        <f>'Ap B - Qtr Electric Master'!F$32</f>
        <v>0</v>
      </c>
      <c r="D18" s="426">
        <f>'Ap B - Qtr Electric Master'!E$32</f>
        <v>2088</v>
      </c>
      <c r="E18" s="284">
        <f t="shared" ref="E18:E19" si="2">C18/D18</f>
        <v>0</v>
      </c>
      <c r="G18" s="343"/>
    </row>
    <row r="19" spans="1:12" ht="17.25">
      <c r="A19" s="286" t="s">
        <v>88</v>
      </c>
      <c r="B19" s="426">
        <f>'Ap B - Qtr Electric Master'!D$26</f>
        <v>83</v>
      </c>
      <c r="C19" s="426">
        <f>'Ap B - Qtr Electric Master'!F$26</f>
        <v>83</v>
      </c>
      <c r="D19" s="426">
        <f>'Ap B - Qtr Electric Master'!E$26</f>
        <v>126748</v>
      </c>
      <c r="E19" s="284">
        <f t="shared" si="2"/>
        <v>6.548426799633919E-4</v>
      </c>
      <c r="G19" s="343"/>
    </row>
    <row r="20" spans="1:12">
      <c r="A20" s="279" t="s">
        <v>89</v>
      </c>
      <c r="B20" s="428">
        <f>SUM(B17:B19)</f>
        <v>249532</v>
      </c>
      <c r="C20" s="283">
        <f>SUM(C17:C19)</f>
        <v>249532</v>
      </c>
      <c r="D20" s="283">
        <f>SUM(D17:D19)</f>
        <v>372271</v>
      </c>
      <c r="E20" s="282">
        <f>C20/D20</f>
        <v>0.67029663873898315</v>
      </c>
      <c r="G20" s="343"/>
    </row>
    <row r="21" spans="1:12" ht="17.25">
      <c r="A21" s="286" t="s">
        <v>90</v>
      </c>
      <c r="B21" s="748">
        <v>96</v>
      </c>
      <c r="C21" s="748">
        <v>96</v>
      </c>
      <c r="D21" s="748">
        <v>671</v>
      </c>
      <c r="E21" s="284">
        <f>C21/D21</f>
        <v>0.14307004470938897</v>
      </c>
      <c r="G21" s="343"/>
    </row>
    <row r="22" spans="1:12" ht="15.75" thickBot="1">
      <c r="A22" s="279" t="s">
        <v>91</v>
      </c>
      <c r="B22" s="283">
        <f>SUM(B20:B21)</f>
        <v>249628</v>
      </c>
      <c r="C22" s="283">
        <f>SUM(C20:C21)</f>
        <v>249628</v>
      </c>
      <c r="D22" s="283">
        <f>SUM(D20:D21)</f>
        <v>372942</v>
      </c>
      <c r="E22" s="282">
        <f>C22/D22</f>
        <v>0.66934804875825193</v>
      </c>
      <c r="G22" s="343"/>
    </row>
    <row r="23" spans="1:12" ht="86.1" customHeight="1">
      <c r="A23" s="902" t="s">
        <v>92</v>
      </c>
      <c r="B23" s="909"/>
      <c r="C23" s="909"/>
      <c r="D23" s="909"/>
      <c r="E23" s="909"/>
      <c r="F23" s="514"/>
    </row>
    <row r="26" spans="1:12">
      <c r="A26" t="s">
        <v>93</v>
      </c>
    </row>
    <row r="27" spans="1:12" ht="36">
      <c r="A27" s="281" t="s">
        <v>94</v>
      </c>
      <c r="B27" s="281" t="s">
        <v>95</v>
      </c>
      <c r="C27" s="30" t="s">
        <v>96</v>
      </c>
      <c r="D27" s="30" t="s">
        <v>97</v>
      </c>
      <c r="E27" s="280" t="s">
        <v>98</v>
      </c>
    </row>
    <row r="28" spans="1:12">
      <c r="A28" s="286" t="s">
        <v>20</v>
      </c>
      <c r="B28" s="271">
        <f>'Ap B - Qtr Electric Master'!H$19</f>
        <v>4402.5557599999993</v>
      </c>
      <c r="C28" s="271">
        <f>'Ap B - Qtr Electric Master'!J$19</f>
        <v>4402.5557599999993</v>
      </c>
      <c r="D28" s="271">
        <f>'Ap B - Qtr Electric Master'!I$19</f>
        <v>16353.398000000001</v>
      </c>
      <c r="E28" s="284">
        <f t="shared" ref="E28:E33" si="3">C28/D28</f>
        <v>0.2692135151361203</v>
      </c>
    </row>
    <row r="29" spans="1:12">
      <c r="A29" s="286" t="s">
        <v>87</v>
      </c>
      <c r="B29" s="271">
        <f>'Ap B - Qtr Electric Master'!H$32</f>
        <v>0</v>
      </c>
      <c r="C29" s="271">
        <f>'Ap B - Qtr Electric Master'!J$32</f>
        <v>0</v>
      </c>
      <c r="D29" s="271">
        <f>'Ap B - Qtr Electric Master'!I$32</f>
        <v>1364.884</v>
      </c>
      <c r="E29" s="284">
        <f t="shared" si="3"/>
        <v>0</v>
      </c>
      <c r="L29" s="481"/>
    </row>
    <row r="30" spans="1:12">
      <c r="A30" s="286" t="s">
        <v>99</v>
      </c>
      <c r="B30" s="271">
        <f>'Ap B - Qtr Electric Master'!H$26</f>
        <v>2791.0933199999899</v>
      </c>
      <c r="C30" s="271">
        <f>'Ap B - Qtr Electric Master'!J$26</f>
        <v>2791.0933199999899</v>
      </c>
      <c r="D30" s="271">
        <f>'Ap B - Qtr Electric Master'!I$26</f>
        <v>17857.767000000003</v>
      </c>
      <c r="E30" s="284">
        <f t="shared" si="3"/>
        <v>0.15629576307048856</v>
      </c>
    </row>
    <row r="31" spans="1:12">
      <c r="A31" s="279" t="s">
        <v>89</v>
      </c>
      <c r="B31" s="278">
        <f>SUM(B28:B30)</f>
        <v>7193.6490799999892</v>
      </c>
      <c r="C31" s="278">
        <f>SUM(C28:C30)</f>
        <v>7193.6490799999892</v>
      </c>
      <c r="D31" s="278">
        <f>SUM(D28:D30)</f>
        <v>35576.048999999999</v>
      </c>
      <c r="E31" s="282">
        <f t="shared" si="3"/>
        <v>0.20220483393195207</v>
      </c>
      <c r="L31" s="481"/>
    </row>
    <row r="32" spans="1:12">
      <c r="A32" s="286" t="s">
        <v>41</v>
      </c>
      <c r="B32" s="732">
        <v>135.78</v>
      </c>
      <c r="C32" s="732">
        <v>136</v>
      </c>
      <c r="D32" s="732">
        <v>2564.98</v>
      </c>
      <c r="E32" s="284">
        <f t="shared" si="3"/>
        <v>5.3021855920903867E-2</v>
      </c>
    </row>
    <row r="33" spans="1:10" ht="15.75" thickBot="1">
      <c r="A33" s="279" t="s">
        <v>91</v>
      </c>
      <c r="B33" s="278">
        <f>SUM(B31:B32)</f>
        <v>7329.429079999989</v>
      </c>
      <c r="C33" s="278">
        <f>SUM(C31:C32)</f>
        <v>7329.6490799999892</v>
      </c>
      <c r="D33" s="278">
        <f>SUM(D31:D32)</f>
        <v>38141.029000000002</v>
      </c>
      <c r="E33" s="282">
        <f t="shared" si="3"/>
        <v>0.19217229508936398</v>
      </c>
    </row>
    <row r="34" spans="1:10" ht="27" customHeight="1">
      <c r="A34" s="903" t="s">
        <v>100</v>
      </c>
      <c r="B34" s="909"/>
      <c r="C34" s="909"/>
      <c r="D34" s="909"/>
      <c r="E34" s="909"/>
      <c r="F34" s="514"/>
    </row>
    <row r="36" spans="1:10">
      <c r="A36" t="s">
        <v>101</v>
      </c>
    </row>
    <row r="37" spans="1:10" ht="36">
      <c r="A37" s="281" t="s">
        <v>102</v>
      </c>
      <c r="B37" s="281" t="s">
        <v>103</v>
      </c>
      <c r="C37" s="30" t="s">
        <v>104</v>
      </c>
      <c r="D37" s="30" t="s">
        <v>105</v>
      </c>
      <c r="E37" s="280" t="s">
        <v>106</v>
      </c>
      <c r="J37" s="338"/>
    </row>
    <row r="38" spans="1:10">
      <c r="A38" s="286" t="s">
        <v>20</v>
      </c>
      <c r="B38" s="285">
        <f>'Ap B - Qtr Electric Master'!L$19</f>
        <v>4787.4669798199993</v>
      </c>
      <c r="C38" s="285">
        <f>'Ap B - Qtr Electric Master'!N$19</f>
        <v>4787.4669798199993</v>
      </c>
      <c r="D38" s="285">
        <f>'Ap B - Qtr Electric Master'!M$19</f>
        <v>27879.901999999998</v>
      </c>
      <c r="E38" s="284">
        <f>C38/D38</f>
        <v>0.17171749670497405</v>
      </c>
      <c r="J38" s="344"/>
    </row>
    <row r="39" spans="1:10">
      <c r="A39" s="286" t="s">
        <v>87</v>
      </c>
      <c r="B39" s="285">
        <f>'Ap B - Qtr Electric Master'!L$32</f>
        <v>0</v>
      </c>
      <c r="C39" s="285">
        <f>'Ap B - Qtr Electric Master'!N$32</f>
        <v>0</v>
      </c>
      <c r="D39" s="285">
        <f>'Ap B - Qtr Electric Master'!M$32</f>
        <v>2298.1190000000001</v>
      </c>
      <c r="E39" s="284">
        <f>C39/D39</f>
        <v>0</v>
      </c>
      <c r="J39" s="345"/>
    </row>
    <row r="40" spans="1:10">
      <c r="A40" s="286" t="s">
        <v>99</v>
      </c>
      <c r="B40" s="285">
        <f>'Ap B - Qtr Electric Master'!L$26</f>
        <v>4486.1683558000004</v>
      </c>
      <c r="C40" s="285">
        <f>'Ap B - Qtr Electric Master'!N$26</f>
        <v>4486.1683558000004</v>
      </c>
      <c r="D40" s="285">
        <f>'Ap B - Qtr Electric Master'!M$26</f>
        <v>37376.024832112467</v>
      </c>
      <c r="E40" s="284">
        <f>C40/D40</f>
        <v>0.12002796915806857</v>
      </c>
    </row>
    <row r="41" spans="1:10">
      <c r="A41" s="279" t="s">
        <v>89</v>
      </c>
      <c r="B41" s="283">
        <f>SUM(B38:B40)</f>
        <v>9273.6353356199998</v>
      </c>
      <c r="C41" s="283">
        <f>SUM(C38:C40)</f>
        <v>9273.6353356199998</v>
      </c>
      <c r="D41" s="283">
        <f>SUM(D38:D40)</f>
        <v>67554.045832112461</v>
      </c>
      <c r="E41" s="282">
        <f>C41/D41</f>
        <v>0.13727727512675028</v>
      </c>
    </row>
    <row r="42" spans="1:10">
      <c r="A42" s="286" t="s">
        <v>41</v>
      </c>
      <c r="B42" s="741">
        <v>46</v>
      </c>
      <c r="C42" s="741">
        <v>46</v>
      </c>
      <c r="D42" s="427" t="s">
        <v>107</v>
      </c>
      <c r="E42" s="429" t="s">
        <v>107</v>
      </c>
    </row>
    <row r="43" spans="1:10" ht="15.75" thickBot="1">
      <c r="A43" s="279" t="s">
        <v>91</v>
      </c>
      <c r="B43" s="283">
        <f>SUM(B41:B42)</f>
        <v>9319.6353356199998</v>
      </c>
      <c r="C43" s="283">
        <f>SUM(C41:C42)</f>
        <v>9319.6353356199998</v>
      </c>
      <c r="D43" s="283">
        <f>SUM(D41:D42)</f>
        <v>67554.045832112461</v>
      </c>
      <c r="E43" s="282">
        <f>C43/D43</f>
        <v>0.13795821139686384</v>
      </c>
    </row>
    <row r="44" spans="1:10" ht="27" customHeight="1">
      <c r="A44" s="903" t="s">
        <v>108</v>
      </c>
      <c r="B44" s="904"/>
      <c r="C44" s="904"/>
      <c r="D44" s="904"/>
      <c r="E44" s="904"/>
    </row>
    <row r="46" spans="1:10">
      <c r="A46" t="s">
        <v>109</v>
      </c>
    </row>
    <row r="47" spans="1:10" ht="47.25" customHeight="1">
      <c r="A47" s="281" t="s">
        <v>110</v>
      </c>
      <c r="B47" s="281" t="s">
        <v>111</v>
      </c>
      <c r="C47" s="30" t="s">
        <v>112</v>
      </c>
      <c r="D47" s="30" t="s">
        <v>113</v>
      </c>
      <c r="E47" s="430" t="s">
        <v>114</v>
      </c>
    </row>
    <row r="48" spans="1:10">
      <c r="A48" s="286" t="s">
        <v>115</v>
      </c>
      <c r="B48" s="732">
        <f>SUM('Ap B - Qtr Electric Master'!H11,'Ap B - Qtr Electric Master'!H38)</f>
        <v>859.79</v>
      </c>
      <c r="C48" s="732">
        <f>SUM('Ap B - Qtr Electric Master'!J11,'Ap B - Qtr Electric Master'!J38)</f>
        <v>859.79</v>
      </c>
      <c r="D48" s="732">
        <v>450</v>
      </c>
      <c r="E48" s="595">
        <f>C48/D48</f>
        <v>1.9106444444444444</v>
      </c>
      <c r="F48" s="481"/>
    </row>
    <row r="49" spans="1:6">
      <c r="A49" s="286" t="s">
        <v>116</v>
      </c>
      <c r="B49" s="732">
        <v>467</v>
      </c>
      <c r="C49" s="732">
        <v>467</v>
      </c>
      <c r="D49" s="732">
        <v>1756.9069209146298</v>
      </c>
      <c r="E49" s="595">
        <f t="shared" ref="E49:E55" si="4">C49/D49</f>
        <v>0.26580804847469325</v>
      </c>
      <c r="F49" s="481"/>
    </row>
    <row r="50" spans="1:6">
      <c r="A50" s="286" t="s">
        <v>117</v>
      </c>
      <c r="B50" s="732">
        <v>361</v>
      </c>
      <c r="C50" s="732">
        <v>361</v>
      </c>
      <c r="D50" s="732">
        <v>1793.7468428989901</v>
      </c>
      <c r="E50" s="595">
        <f t="shared" si="4"/>
        <v>0.20125470962031888</v>
      </c>
      <c r="F50" s="481"/>
    </row>
    <row r="51" spans="1:6">
      <c r="A51" s="286" t="s">
        <v>118</v>
      </c>
      <c r="B51" s="732">
        <v>1143</v>
      </c>
      <c r="C51" s="732">
        <v>1143</v>
      </c>
      <c r="D51" s="732">
        <v>7410.4128251066095</v>
      </c>
      <c r="E51" s="595">
        <f t="shared" si="4"/>
        <v>0.15424241900903224</v>
      </c>
      <c r="F51" s="481"/>
    </row>
    <row r="52" spans="1:6">
      <c r="A52" s="286" t="s">
        <v>119</v>
      </c>
      <c r="B52" s="732">
        <v>2948</v>
      </c>
      <c r="C52" s="732">
        <v>2948</v>
      </c>
      <c r="D52" s="732">
        <v>29485.294441289101</v>
      </c>
      <c r="E52" s="595">
        <f t="shared" si="4"/>
        <v>9.9982043790338801E-2</v>
      </c>
      <c r="F52" s="481"/>
    </row>
    <row r="53" spans="1:6">
      <c r="A53" s="286" t="s">
        <v>120</v>
      </c>
      <c r="B53" s="732">
        <v>1642</v>
      </c>
      <c r="C53" s="732">
        <v>1642</v>
      </c>
      <c r="D53" s="732">
        <v>2521.83193024809</v>
      </c>
      <c r="E53" s="595">
        <f t="shared" si="4"/>
        <v>0.65111397008858762</v>
      </c>
      <c r="F53" s="481"/>
    </row>
    <row r="54" spans="1:6">
      <c r="A54" s="286" t="s">
        <v>121</v>
      </c>
      <c r="B54" s="732">
        <v>424</v>
      </c>
      <c r="C54" s="732">
        <v>424</v>
      </c>
      <c r="D54" s="732">
        <v>1069.2366113958601</v>
      </c>
      <c r="E54" s="595">
        <f t="shared" si="4"/>
        <v>0.39654459591173108</v>
      </c>
      <c r="F54" s="481"/>
    </row>
    <row r="55" spans="1:6">
      <c r="A55" s="286" t="s">
        <v>122</v>
      </c>
      <c r="B55" s="732">
        <v>70</v>
      </c>
      <c r="C55" s="732">
        <v>70</v>
      </c>
      <c r="D55" s="732">
        <v>281.493674128831</v>
      </c>
      <c r="E55" s="595">
        <f t="shared" si="4"/>
        <v>0.24867343899160999</v>
      </c>
      <c r="F55" s="481"/>
    </row>
    <row r="56" spans="1:6" ht="15.75" thickBot="1">
      <c r="A56" s="279" t="s">
        <v>91</v>
      </c>
      <c r="B56" s="278">
        <f>SUM(B48:B55)</f>
        <v>7914.79</v>
      </c>
      <c r="C56" s="278">
        <f>SUM(C48:C55)</f>
        <v>7914.79</v>
      </c>
      <c r="D56" s="278">
        <f>SUM(D48:D55)</f>
        <v>44768.923245982114</v>
      </c>
      <c r="E56" s="596">
        <f>C56/D56</f>
        <v>0.17679205632246986</v>
      </c>
      <c r="F56" s="481"/>
    </row>
    <row r="57" spans="1:6" ht="44.45" customHeight="1">
      <c r="A57" s="903" t="s">
        <v>123</v>
      </c>
      <c r="B57" s="905"/>
      <c r="C57" s="905"/>
      <c r="D57" s="905"/>
      <c r="E57" s="905"/>
    </row>
    <row r="64" spans="1:6">
      <c r="A64" s="342"/>
    </row>
  </sheetData>
  <mergeCells count="6">
    <mergeCell ref="A44:E44"/>
    <mergeCell ref="A57:E57"/>
    <mergeCell ref="F2:I2"/>
    <mergeCell ref="B2:E2"/>
    <mergeCell ref="A23:E23"/>
    <mergeCell ref="A34:E3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B2:O76"/>
  <sheetViews>
    <sheetView showGridLines="0" topLeftCell="A21" zoomScale="70" zoomScaleNormal="70" workbookViewId="0">
      <selection activeCell="O13" sqref="O13"/>
    </sheetView>
  </sheetViews>
  <sheetFormatPr defaultRowHeight="15"/>
  <cols>
    <col min="1" max="1" width="6.140625" customWidth="1"/>
    <col min="2" max="2" width="26" customWidth="1"/>
    <col min="3" max="3" width="18.42578125" customWidth="1"/>
    <col min="4" max="4" width="14.5703125" customWidth="1"/>
    <col min="5" max="6" width="13.28515625" customWidth="1"/>
    <col min="7" max="7" width="11.42578125" customWidth="1"/>
    <col min="8" max="9" width="13.28515625" customWidth="1"/>
    <col min="10" max="21" width="11.7109375" customWidth="1"/>
  </cols>
  <sheetData>
    <row r="2" spans="2:15">
      <c r="B2" t="s">
        <v>124</v>
      </c>
    </row>
    <row r="3" spans="2:15" ht="45.75" customHeight="1">
      <c r="B3" s="277" t="s">
        <v>125</v>
      </c>
      <c r="C3" s="276" t="s">
        <v>126</v>
      </c>
      <c r="D3" s="346" t="s">
        <v>127</v>
      </c>
      <c r="E3" s="431" t="s">
        <v>128</v>
      </c>
      <c r="F3" s="338"/>
      <c r="G3" s="338"/>
      <c r="L3" s="338"/>
      <c r="M3" s="338"/>
      <c r="N3" s="338"/>
      <c r="O3" s="338"/>
    </row>
    <row r="4" spans="2:15">
      <c r="B4" s="347" t="s">
        <v>129</v>
      </c>
      <c r="C4" s="285"/>
      <c r="D4" s="285"/>
      <c r="E4" s="284"/>
      <c r="F4" s="43"/>
      <c r="G4" s="43"/>
      <c r="I4" s="341"/>
      <c r="J4" s="341"/>
      <c r="L4" s="342"/>
      <c r="M4" s="340"/>
      <c r="N4" s="339"/>
      <c r="O4" s="340"/>
    </row>
    <row r="5" spans="2:15">
      <c r="B5" s="348" t="s">
        <v>130</v>
      </c>
      <c r="C5" s="349">
        <v>109691</v>
      </c>
      <c r="D5" s="349">
        <v>377690</v>
      </c>
      <c r="E5" s="600">
        <f>C5/(C5+D5)</f>
        <v>0.22506211772719906</v>
      </c>
      <c r="F5" s="43"/>
      <c r="G5" s="43"/>
      <c r="L5" s="342"/>
    </row>
    <row r="6" spans="2:15">
      <c r="B6" s="347" t="s">
        <v>131</v>
      </c>
      <c r="C6" s="285">
        <v>17167</v>
      </c>
      <c r="D6" s="285">
        <v>44320</v>
      </c>
      <c r="E6" s="600">
        <f>C6/(C6+D6)</f>
        <v>0.27919722868248575</v>
      </c>
      <c r="F6" s="43"/>
      <c r="G6" s="43"/>
      <c r="L6" s="342"/>
    </row>
    <row r="7" spans="2:15">
      <c r="B7" s="350" t="s">
        <v>132</v>
      </c>
      <c r="C7" s="351">
        <v>915963</v>
      </c>
      <c r="D7" s="351">
        <v>2449103.0038000471</v>
      </c>
      <c r="E7" s="601">
        <f>C7/(C7+D7)</f>
        <v>0.27219763266623481</v>
      </c>
      <c r="F7" s="352"/>
      <c r="G7" s="352"/>
      <c r="L7" s="342"/>
    </row>
    <row r="8" spans="2:15" ht="13.5" customHeight="1">
      <c r="I8" s="342"/>
      <c r="J8" s="342"/>
      <c r="K8" s="342"/>
      <c r="L8" s="342"/>
      <c r="M8" s="342"/>
    </row>
    <row r="9" spans="2:15" ht="45" customHeight="1">
      <c r="B9" s="276" t="s">
        <v>133</v>
      </c>
      <c r="C9" s="276" t="s">
        <v>134</v>
      </c>
      <c r="D9" s="276" t="s">
        <v>135</v>
      </c>
      <c r="E9" s="276" t="s">
        <v>136</v>
      </c>
      <c r="F9" s="346" t="s">
        <v>137</v>
      </c>
      <c r="G9" s="431" t="s">
        <v>128</v>
      </c>
      <c r="H9" s="276" t="s">
        <v>138</v>
      </c>
      <c r="I9" s="346" t="s">
        <v>139</v>
      </c>
      <c r="J9" s="431" t="s">
        <v>128</v>
      </c>
      <c r="K9" s="342"/>
      <c r="L9" s="342"/>
      <c r="M9" s="342"/>
    </row>
    <row r="10" spans="2:15">
      <c r="B10" s="918" t="s">
        <v>3</v>
      </c>
      <c r="C10" s="918"/>
      <c r="D10" s="918"/>
      <c r="E10" s="918"/>
      <c r="F10" s="918"/>
      <c r="G10" s="918"/>
      <c r="H10" s="918"/>
      <c r="I10" s="918"/>
      <c r="J10" s="918"/>
      <c r="K10" s="342"/>
      <c r="L10" s="342"/>
      <c r="M10" s="342"/>
    </row>
    <row r="11" spans="2:15">
      <c r="B11" s="910" t="s">
        <v>140</v>
      </c>
      <c r="C11" s="286" t="s">
        <v>22</v>
      </c>
      <c r="D11" s="286" t="s">
        <v>141</v>
      </c>
      <c r="E11" s="749">
        <v>11</v>
      </c>
      <c r="F11" s="750">
        <f>953-E11</f>
        <v>942</v>
      </c>
      <c r="G11" s="597">
        <f>IFERROR(E11/(E11+F11),"-")</f>
        <v>1.1542497376705142E-2</v>
      </c>
      <c r="H11" s="756">
        <v>11</v>
      </c>
      <c r="I11" s="757">
        <f>953-H11</f>
        <v>942</v>
      </c>
      <c r="J11" s="597">
        <f>IFERROR(H11/(H11+I11),"-")</f>
        <v>1.1542497376705142E-2</v>
      </c>
      <c r="K11" s="342"/>
      <c r="L11" s="342"/>
      <c r="M11" s="342"/>
    </row>
    <row r="12" spans="2:15">
      <c r="B12" s="911"/>
      <c r="C12" s="286" t="s">
        <v>23</v>
      </c>
      <c r="D12" s="286" t="s">
        <v>141</v>
      </c>
      <c r="E12" s="749">
        <v>28</v>
      </c>
      <c r="F12" s="750">
        <f>1150-E12</f>
        <v>1122</v>
      </c>
      <c r="G12" s="597">
        <f t="shared" ref="G12:G28" si="0">IFERROR(E12/(E12+F12),"-")</f>
        <v>2.4347826086956521E-2</v>
      </c>
      <c r="H12" s="756">
        <v>28</v>
      </c>
      <c r="I12" s="750">
        <f>1150-H12</f>
        <v>1122</v>
      </c>
      <c r="J12" s="597">
        <f t="shared" ref="J12:J28" si="1">IFERROR(H12/(H12+I12),"-")</f>
        <v>2.4347826086956521E-2</v>
      </c>
      <c r="K12" s="342"/>
      <c r="L12" s="342"/>
      <c r="M12" s="342"/>
    </row>
    <row r="13" spans="2:15" ht="30">
      <c r="B13" s="911"/>
      <c r="C13" s="286" t="s">
        <v>24</v>
      </c>
      <c r="D13" s="286" t="s">
        <v>141</v>
      </c>
      <c r="E13" s="749">
        <v>24</v>
      </c>
      <c r="F13" s="750">
        <f>356-E13</f>
        <v>332</v>
      </c>
      <c r="G13" s="597">
        <f t="shared" si="0"/>
        <v>6.741573033707865E-2</v>
      </c>
      <c r="H13" s="749">
        <v>24</v>
      </c>
      <c r="I13" s="750">
        <f>356-H13</f>
        <v>332</v>
      </c>
      <c r="J13" s="597">
        <f t="shared" si="1"/>
        <v>6.741573033707865E-2</v>
      </c>
    </row>
    <row r="14" spans="2:15" ht="30">
      <c r="B14" s="911"/>
      <c r="C14" s="286" t="s">
        <v>25</v>
      </c>
      <c r="D14" s="286" t="s">
        <v>141</v>
      </c>
      <c r="E14" s="749">
        <v>32</v>
      </c>
      <c r="F14" s="750">
        <v>455</v>
      </c>
      <c r="G14" s="598">
        <f>IFERROR(E14/(E14+F14),"-")</f>
        <v>6.5708418891170434E-2</v>
      </c>
      <c r="H14" s="756">
        <v>32</v>
      </c>
      <c r="I14" s="757">
        <v>455</v>
      </c>
      <c r="J14" s="598">
        <f>IFERROR(H14/(H14+I14),"-")</f>
        <v>6.5708418891170434E-2</v>
      </c>
    </row>
    <row r="15" spans="2:15">
      <c r="B15" s="911"/>
      <c r="C15" s="286" t="s">
        <v>26</v>
      </c>
      <c r="D15" s="286" t="s">
        <v>141</v>
      </c>
      <c r="E15" s="749">
        <v>0</v>
      </c>
      <c r="F15" s="750">
        <v>800</v>
      </c>
      <c r="G15" s="597">
        <f>IFERROR(E15/(E15+F15),"-")</f>
        <v>0</v>
      </c>
      <c r="H15" s="750">
        <v>0</v>
      </c>
      <c r="I15" s="750">
        <v>800</v>
      </c>
      <c r="J15" s="597">
        <f t="shared" si="1"/>
        <v>0</v>
      </c>
    </row>
    <row r="16" spans="2:15">
      <c r="B16" s="912"/>
      <c r="C16" s="286" t="s">
        <v>27</v>
      </c>
      <c r="D16" s="286" t="s">
        <v>141</v>
      </c>
      <c r="E16" s="749">
        <v>0</v>
      </c>
      <c r="F16" s="750">
        <v>8419</v>
      </c>
      <c r="G16" s="597">
        <f t="shared" si="0"/>
        <v>0</v>
      </c>
      <c r="H16" s="750">
        <v>0</v>
      </c>
      <c r="I16" s="750">
        <v>8419</v>
      </c>
      <c r="J16" s="597">
        <f t="shared" si="1"/>
        <v>0</v>
      </c>
    </row>
    <row r="17" spans="2:12" ht="30">
      <c r="B17" s="910" t="s">
        <v>142</v>
      </c>
      <c r="C17" s="286" t="s">
        <v>143</v>
      </c>
      <c r="D17" s="286" t="s">
        <v>141</v>
      </c>
      <c r="E17" s="622">
        <v>5</v>
      </c>
      <c r="F17" s="622">
        <v>35</v>
      </c>
      <c r="G17" s="597">
        <f t="shared" si="0"/>
        <v>0.125</v>
      </c>
      <c r="H17" s="622">
        <v>5</v>
      </c>
      <c r="I17" s="622">
        <v>35</v>
      </c>
      <c r="J17" s="597">
        <f t="shared" si="1"/>
        <v>0.125</v>
      </c>
    </row>
    <row r="18" spans="2:12" ht="30">
      <c r="B18" s="911"/>
      <c r="C18" s="286" t="s">
        <v>30</v>
      </c>
      <c r="D18" s="13" t="s">
        <v>144</v>
      </c>
      <c r="E18" s="622">
        <v>500</v>
      </c>
      <c r="F18" s="622">
        <v>1910</v>
      </c>
      <c r="G18" s="597">
        <f t="shared" si="0"/>
        <v>0.2074688796680498</v>
      </c>
      <c r="H18" s="622">
        <v>500</v>
      </c>
      <c r="I18" s="622">
        <v>1910</v>
      </c>
      <c r="J18" s="597">
        <f t="shared" si="1"/>
        <v>0.2074688796680498</v>
      </c>
    </row>
    <row r="19" spans="2:12" ht="30">
      <c r="B19" s="912"/>
      <c r="C19" s="286" t="s">
        <v>31</v>
      </c>
      <c r="D19" s="13" t="s">
        <v>144</v>
      </c>
      <c r="E19" s="622">
        <v>0</v>
      </c>
      <c r="F19" s="622">
        <v>0</v>
      </c>
      <c r="G19" s="597" t="str">
        <f t="shared" si="0"/>
        <v>-</v>
      </c>
      <c r="H19" s="622">
        <v>0</v>
      </c>
      <c r="I19" s="622">
        <v>0</v>
      </c>
      <c r="J19" s="597" t="str">
        <f t="shared" si="1"/>
        <v>-</v>
      </c>
      <c r="L19" s="339"/>
    </row>
    <row r="20" spans="2:12" ht="30">
      <c r="B20" s="432" t="s">
        <v>145</v>
      </c>
      <c r="C20" s="286" t="s">
        <v>33</v>
      </c>
      <c r="D20" s="13" t="s">
        <v>144</v>
      </c>
      <c r="E20" s="751">
        <f>'Ap B - Qtr Electric Master'!D18*0.311</f>
        <v>73033.373999999996</v>
      </c>
      <c r="F20" s="751">
        <f>'Ap B - Qtr Electric Master'!D18-E20</f>
        <v>161800.62599999999</v>
      </c>
      <c r="G20" s="597">
        <f t="shared" si="0"/>
        <v>0.311</v>
      </c>
      <c r="H20" s="758">
        <f>E20</f>
        <v>73033.373999999996</v>
      </c>
      <c r="I20" s="758">
        <f>F20</f>
        <v>161800.62599999999</v>
      </c>
      <c r="J20" s="620">
        <v>0.311</v>
      </c>
      <c r="K20" t="s">
        <v>146</v>
      </c>
    </row>
    <row r="21" spans="2:12">
      <c r="B21" s="432" t="s">
        <v>147</v>
      </c>
      <c r="C21" s="286" t="s">
        <v>35</v>
      </c>
      <c r="D21" s="13" t="s">
        <v>141</v>
      </c>
      <c r="E21" s="752">
        <v>12</v>
      </c>
      <c r="F21" s="753">
        <v>3</v>
      </c>
      <c r="G21" s="597">
        <f t="shared" si="0"/>
        <v>0.8</v>
      </c>
      <c r="H21" s="752">
        <v>12</v>
      </c>
      <c r="I21" s="753">
        <v>3</v>
      </c>
      <c r="J21" s="597">
        <f t="shared" si="1"/>
        <v>0.8</v>
      </c>
    </row>
    <row r="22" spans="2:12" ht="30">
      <c r="B22" s="910" t="s">
        <v>36</v>
      </c>
      <c r="C22" s="286" t="s">
        <v>37</v>
      </c>
      <c r="D22" s="13" t="s">
        <v>141</v>
      </c>
      <c r="E22" s="754">
        <v>25</v>
      </c>
      <c r="F22" s="755">
        <v>42</v>
      </c>
      <c r="G22" s="597">
        <f t="shared" si="0"/>
        <v>0.37313432835820898</v>
      </c>
      <c r="H22" s="754">
        <v>25</v>
      </c>
      <c r="I22" s="755">
        <v>42</v>
      </c>
      <c r="J22" s="597">
        <f t="shared" si="1"/>
        <v>0.37313432835820898</v>
      </c>
    </row>
    <row r="23" spans="2:12" ht="30">
      <c r="B23" s="911"/>
      <c r="C23" s="286" t="s">
        <v>38</v>
      </c>
      <c r="D23" s="13" t="s">
        <v>144</v>
      </c>
      <c r="E23" s="754">
        <v>1</v>
      </c>
      <c r="F23" s="755" t="s">
        <v>148</v>
      </c>
      <c r="G23" s="597" t="str">
        <f t="shared" si="0"/>
        <v>-</v>
      </c>
      <c r="H23" s="754">
        <v>1</v>
      </c>
      <c r="I23" s="755" t="s">
        <v>148</v>
      </c>
      <c r="J23" s="597" t="str">
        <f t="shared" si="1"/>
        <v>-</v>
      </c>
    </row>
    <row r="24" spans="2:12" ht="30">
      <c r="B24" s="912"/>
      <c r="C24" s="286" t="s">
        <v>39</v>
      </c>
      <c r="D24" s="13" t="s">
        <v>144</v>
      </c>
      <c r="E24" s="754" t="s">
        <v>148</v>
      </c>
      <c r="F24" s="755" t="s">
        <v>148</v>
      </c>
      <c r="G24" s="597" t="str">
        <f t="shared" si="0"/>
        <v>-</v>
      </c>
      <c r="H24" s="754" t="s">
        <v>148</v>
      </c>
      <c r="I24" s="755" t="s">
        <v>148</v>
      </c>
      <c r="J24" s="597" t="str">
        <f t="shared" si="1"/>
        <v>-</v>
      </c>
    </row>
    <row r="25" spans="2:12" ht="30">
      <c r="B25" s="910" t="s">
        <v>40</v>
      </c>
      <c r="C25" s="286" t="s">
        <v>143</v>
      </c>
      <c r="D25" s="13" t="s">
        <v>141</v>
      </c>
      <c r="E25" s="622">
        <v>0</v>
      </c>
      <c r="F25" s="622">
        <v>0</v>
      </c>
      <c r="G25" s="597" t="str">
        <f t="shared" si="0"/>
        <v>-</v>
      </c>
      <c r="H25" s="622">
        <v>0</v>
      </c>
      <c r="I25" s="622">
        <v>0</v>
      </c>
      <c r="J25" s="597" t="str">
        <f t="shared" si="1"/>
        <v>-</v>
      </c>
    </row>
    <row r="26" spans="2:12">
      <c r="B26" s="911"/>
      <c r="C26" s="286" t="s">
        <v>35</v>
      </c>
      <c r="D26" s="13" t="s">
        <v>141</v>
      </c>
      <c r="E26" s="622">
        <v>0</v>
      </c>
      <c r="F26" s="622">
        <v>0</v>
      </c>
      <c r="G26" s="597" t="str">
        <f t="shared" si="0"/>
        <v>-</v>
      </c>
      <c r="H26" s="622">
        <v>0</v>
      </c>
      <c r="I26" s="622">
        <v>0</v>
      </c>
      <c r="J26" s="597" t="str">
        <f t="shared" si="1"/>
        <v>-</v>
      </c>
    </row>
    <row r="27" spans="2:12" ht="30">
      <c r="B27" s="911"/>
      <c r="C27" s="286" t="s">
        <v>37</v>
      </c>
      <c r="D27" s="13" t="s">
        <v>141</v>
      </c>
      <c r="E27" s="622">
        <v>0</v>
      </c>
      <c r="F27" s="622">
        <v>0</v>
      </c>
      <c r="G27" s="597" t="str">
        <f t="shared" si="0"/>
        <v>-</v>
      </c>
      <c r="H27" s="622">
        <v>0</v>
      </c>
      <c r="I27" s="622">
        <v>0</v>
      </c>
      <c r="J27" s="597" t="str">
        <f t="shared" si="1"/>
        <v>-</v>
      </c>
    </row>
    <row r="28" spans="2:12" ht="30">
      <c r="B28" s="912"/>
      <c r="C28" s="286" t="s">
        <v>39</v>
      </c>
      <c r="D28" s="13" t="s">
        <v>141</v>
      </c>
      <c r="E28" s="622">
        <v>0</v>
      </c>
      <c r="F28" s="622">
        <v>0</v>
      </c>
      <c r="G28" s="597" t="str">
        <f t="shared" si="0"/>
        <v>-</v>
      </c>
      <c r="H28" s="622">
        <v>0</v>
      </c>
      <c r="I28" s="622">
        <v>0</v>
      </c>
      <c r="J28" s="597" t="str">
        <f t="shared" si="1"/>
        <v>-</v>
      </c>
    </row>
    <row r="29" spans="2:12">
      <c r="B29" s="434"/>
      <c r="C29" s="913" t="s">
        <v>149</v>
      </c>
      <c r="D29" s="914"/>
      <c r="E29" s="433">
        <f>SUMIF($D$11:$D$28, "Core", E$11:E$28)</f>
        <v>137</v>
      </c>
      <c r="F29" s="433">
        <f>SUMIF($D$11:$D$28, "Core", F$11:F$28)</f>
        <v>12150</v>
      </c>
      <c r="G29" s="599">
        <f>E29/(E29+F29)</f>
        <v>1.1149995930658419E-2</v>
      </c>
      <c r="H29" s="433">
        <f>SUMIF($D$11:$D$28, "Core", H$11:H$28)</f>
        <v>137</v>
      </c>
      <c r="I29" s="433">
        <f>SUMIF($D$11:$D$28, "Core", I$11:I$28)</f>
        <v>12150</v>
      </c>
      <c r="J29" s="599">
        <f>H29/(H29+I29)</f>
        <v>1.1149995930658419E-2</v>
      </c>
    </row>
    <row r="30" spans="2:12">
      <c r="B30" s="434"/>
      <c r="C30" s="913" t="s">
        <v>150</v>
      </c>
      <c r="D30" s="914"/>
      <c r="E30" s="433">
        <f>SUMIF($D$11:$D$28, "Additional", E$11:E$28)</f>
        <v>73534.373999999996</v>
      </c>
      <c r="F30" s="433">
        <f>SUMIF($D$11:$D$28, "Additional", F$11:F$28)</f>
        <v>163710.62599999999</v>
      </c>
      <c r="G30" s="599">
        <f>E30/(E30+F30)</f>
        <v>0.3099512065586208</v>
      </c>
      <c r="H30" s="433">
        <f>SUMIF($D$11:$D$28, "Additional", H$11:H$28)</f>
        <v>73534.373999999996</v>
      </c>
      <c r="I30" s="433">
        <f>SUMIF($D$11:$D$28, "Additional", I$11:I$28)</f>
        <v>163710.62599999999</v>
      </c>
      <c r="J30" s="599">
        <f>H30/(H30+I30)</f>
        <v>0.3099512065586208</v>
      </c>
    </row>
    <row r="31" spans="2:12">
      <c r="B31" s="434"/>
      <c r="C31" s="913" t="s">
        <v>151</v>
      </c>
      <c r="D31" s="914"/>
      <c r="E31" s="433">
        <f>SUM(E11:E28)</f>
        <v>73671.373999999996</v>
      </c>
      <c r="F31" s="433">
        <f>SUM(F11:F28)</f>
        <v>175860.62599999999</v>
      </c>
      <c r="G31" s="599">
        <f>E31/(E31+F31)</f>
        <v>0.29523818187647272</v>
      </c>
      <c r="H31" s="433">
        <f>SUM(H11:H28)</f>
        <v>73671.373999999996</v>
      </c>
      <c r="I31" s="433">
        <f>SUM(I11:I28)</f>
        <v>175860.62599999999</v>
      </c>
      <c r="J31" s="599">
        <f>H31/(H31+I31)</f>
        <v>0.29523818187647272</v>
      </c>
    </row>
    <row r="32" spans="2:12">
      <c r="B32" s="917" t="s">
        <v>75</v>
      </c>
      <c r="C32" s="917"/>
      <c r="D32" s="917"/>
      <c r="E32" s="917"/>
      <c r="F32" s="917"/>
      <c r="G32" s="917"/>
      <c r="H32" s="917"/>
      <c r="I32" s="917"/>
      <c r="J32" s="917"/>
    </row>
    <row r="33" spans="2:11">
      <c r="B33" s="910" t="s">
        <v>21</v>
      </c>
      <c r="C33" s="286" t="s">
        <v>22</v>
      </c>
      <c r="D33" s="286" t="s">
        <v>141</v>
      </c>
      <c r="E33" s="749">
        <v>6.3501614999999996</v>
      </c>
      <c r="F33" s="750">
        <f>270-E33</f>
        <v>263.64983849999999</v>
      </c>
      <c r="G33" s="597">
        <f>IFERROR(E33/(E33+F33),"-")</f>
        <v>2.3519116666666666E-2</v>
      </c>
      <c r="H33" s="749">
        <v>6.3501614999999996</v>
      </c>
      <c r="I33" s="750">
        <f>270-H33</f>
        <v>263.64983849999999</v>
      </c>
      <c r="J33" s="597">
        <f>IFERROR(H33/(H33+I33),"-")</f>
        <v>2.3519116666666666E-2</v>
      </c>
      <c r="K33" s="344"/>
    </row>
    <row r="34" spans="2:11">
      <c r="B34" s="911"/>
      <c r="C34" s="286" t="s">
        <v>23</v>
      </c>
      <c r="D34" s="286" t="s">
        <v>141</v>
      </c>
      <c r="E34" s="749">
        <v>2.4497154999999999</v>
      </c>
      <c r="F34" s="750">
        <f>100-E34</f>
        <v>97.550284500000004</v>
      </c>
      <c r="G34" s="597">
        <f t="shared" ref="G34:G50" si="2">IFERROR(E34/(E34+F34),"-")</f>
        <v>2.4497155E-2</v>
      </c>
      <c r="H34" s="749">
        <v>2.4497154999999999</v>
      </c>
      <c r="I34" s="750">
        <f>100-H34</f>
        <v>97.550284500000004</v>
      </c>
      <c r="J34" s="597">
        <f>IFERROR(H34/(H34+I34),"-")</f>
        <v>2.4497155E-2</v>
      </c>
      <c r="K34" s="344"/>
    </row>
    <row r="35" spans="2:11" ht="30">
      <c r="B35" s="911"/>
      <c r="C35" s="286" t="s">
        <v>24</v>
      </c>
      <c r="D35" s="286" t="s">
        <v>141</v>
      </c>
      <c r="E35" s="749">
        <v>22.013000000000002</v>
      </c>
      <c r="F35" s="750">
        <f>316-E35</f>
        <v>293.98700000000002</v>
      </c>
      <c r="G35" s="597">
        <f t="shared" si="2"/>
        <v>6.9661392405063291E-2</v>
      </c>
      <c r="H35" s="749">
        <v>22.013000000000002</v>
      </c>
      <c r="I35" s="750">
        <f>316-H35</f>
        <v>293.98700000000002</v>
      </c>
      <c r="J35" s="597">
        <f t="shared" ref="J35:J50" si="3">IFERROR(H35/(H35+I35),"-")</f>
        <v>6.9661392405063291E-2</v>
      </c>
      <c r="K35" s="344"/>
    </row>
    <row r="36" spans="2:11" ht="30">
      <c r="B36" s="911"/>
      <c r="C36" s="286" t="s">
        <v>25</v>
      </c>
      <c r="D36" s="286" t="s">
        <v>141</v>
      </c>
      <c r="E36" s="749">
        <v>4.8206100000000012</v>
      </c>
      <c r="F36" s="750">
        <v>72.460380000000001</v>
      </c>
      <c r="G36" s="598">
        <f t="shared" si="2"/>
        <v>6.2377694695681316E-2</v>
      </c>
      <c r="H36" s="749">
        <v>4.8206100000000012</v>
      </c>
      <c r="I36" s="750">
        <v>72.460380000000001</v>
      </c>
      <c r="J36" s="597">
        <f t="shared" si="3"/>
        <v>6.2377694695681316E-2</v>
      </c>
      <c r="K36" s="344"/>
    </row>
    <row r="37" spans="2:11">
      <c r="B37" s="911"/>
      <c r="C37" s="286" t="s">
        <v>26</v>
      </c>
      <c r="D37" s="286" t="s">
        <v>141</v>
      </c>
      <c r="E37" s="749">
        <v>0</v>
      </c>
      <c r="F37" s="750">
        <v>216</v>
      </c>
      <c r="G37" s="597">
        <f t="shared" si="2"/>
        <v>0</v>
      </c>
      <c r="H37" s="749">
        <v>0</v>
      </c>
      <c r="I37" s="750">
        <v>216</v>
      </c>
      <c r="J37" s="597">
        <f t="shared" si="3"/>
        <v>0</v>
      </c>
      <c r="K37" s="344"/>
    </row>
    <row r="38" spans="2:11">
      <c r="B38" s="912"/>
      <c r="C38" s="286" t="s">
        <v>27</v>
      </c>
      <c r="D38" s="286" t="s">
        <v>141</v>
      </c>
      <c r="E38" s="749">
        <v>0</v>
      </c>
      <c r="F38" s="750">
        <v>1308</v>
      </c>
      <c r="G38" s="597">
        <f t="shared" si="2"/>
        <v>0</v>
      </c>
      <c r="H38" s="749">
        <v>0</v>
      </c>
      <c r="I38" s="750">
        <v>1308</v>
      </c>
      <c r="J38" s="597">
        <f t="shared" si="3"/>
        <v>0</v>
      </c>
      <c r="K38" s="344"/>
    </row>
    <row r="39" spans="2:11" ht="30">
      <c r="B39" s="910" t="s">
        <v>28</v>
      </c>
      <c r="C39" s="286" t="s">
        <v>143</v>
      </c>
      <c r="D39" s="286" t="s">
        <v>141</v>
      </c>
      <c r="E39" s="622">
        <v>4</v>
      </c>
      <c r="F39" s="622">
        <v>24</v>
      </c>
      <c r="G39" s="597">
        <f t="shared" si="2"/>
        <v>0.14285714285714285</v>
      </c>
      <c r="H39" s="622">
        <v>4</v>
      </c>
      <c r="I39" s="622">
        <v>24</v>
      </c>
      <c r="J39" s="597">
        <f t="shared" si="3"/>
        <v>0.14285714285714285</v>
      </c>
    </row>
    <row r="40" spans="2:11" ht="30">
      <c r="B40" s="911"/>
      <c r="C40" s="286" t="s">
        <v>30</v>
      </c>
      <c r="D40" s="13" t="s">
        <v>144</v>
      </c>
      <c r="E40" s="622">
        <v>277.1799487640007</v>
      </c>
      <c r="F40" s="622">
        <v>1137.7036230000001</v>
      </c>
      <c r="G40" s="597">
        <f t="shared" si="2"/>
        <v>0.19590300876730629</v>
      </c>
      <c r="H40" s="622">
        <v>277.1799487640007</v>
      </c>
      <c r="I40" s="622">
        <v>1137.7036230000001</v>
      </c>
      <c r="J40" s="597">
        <f t="shared" si="3"/>
        <v>0.19590300876730629</v>
      </c>
    </row>
    <row r="41" spans="2:11" ht="30">
      <c r="B41" s="912"/>
      <c r="C41" s="286" t="s">
        <v>31</v>
      </c>
      <c r="D41" s="13" t="s">
        <v>144</v>
      </c>
      <c r="E41" s="622">
        <v>0</v>
      </c>
      <c r="F41" s="622">
        <v>0</v>
      </c>
      <c r="G41" s="597" t="str">
        <f t="shared" si="2"/>
        <v>-</v>
      </c>
      <c r="H41" s="622">
        <v>0</v>
      </c>
      <c r="I41" s="622">
        <v>0</v>
      </c>
      <c r="J41" s="597" t="str">
        <f t="shared" si="3"/>
        <v>-</v>
      </c>
    </row>
    <row r="42" spans="2:11" ht="30">
      <c r="B42" s="432" t="s">
        <v>32</v>
      </c>
      <c r="C42" s="286" t="s">
        <v>33</v>
      </c>
      <c r="D42" s="13" t="s">
        <v>144</v>
      </c>
      <c r="E42" s="622">
        <f>'Ap B - Qtr Electric Master'!L18*0.311</f>
        <v>328.58331831722006</v>
      </c>
      <c r="F42" s="622">
        <f>'Ap B - Qtr Electric Master'!L18-E42</f>
        <v>727.95468270278002</v>
      </c>
      <c r="G42" s="597">
        <f t="shared" si="2"/>
        <v>0.311</v>
      </c>
      <c r="H42" s="622">
        <f>'Ap B - Qtr Electric Master'!N18*0.311</f>
        <v>328.58331831722006</v>
      </c>
      <c r="I42" s="622">
        <f>'Ap B - Qtr Electric Master'!N18-H42</f>
        <v>727.95468270278002</v>
      </c>
      <c r="J42" s="597">
        <f t="shared" si="3"/>
        <v>0.311</v>
      </c>
    </row>
    <row r="43" spans="2:11">
      <c r="B43" s="432" t="s">
        <v>147</v>
      </c>
      <c r="C43" s="286" t="s">
        <v>35</v>
      </c>
      <c r="D43" s="13" t="s">
        <v>141</v>
      </c>
      <c r="E43" s="752">
        <v>528</v>
      </c>
      <c r="F43" s="753">
        <v>146</v>
      </c>
      <c r="G43" s="597">
        <f t="shared" si="2"/>
        <v>0.78338278931750738</v>
      </c>
      <c r="H43" s="752">
        <v>528</v>
      </c>
      <c r="I43" s="753">
        <v>146</v>
      </c>
      <c r="J43" s="597">
        <f t="shared" si="3"/>
        <v>0.78338278931750738</v>
      </c>
    </row>
    <row r="44" spans="2:11" ht="30">
      <c r="B44" s="910" t="s">
        <v>36</v>
      </c>
      <c r="C44" s="286" t="s">
        <v>37</v>
      </c>
      <c r="D44" s="13" t="s">
        <v>141</v>
      </c>
      <c r="E44" s="759">
        <v>1484</v>
      </c>
      <c r="F44" s="760">
        <v>2009</v>
      </c>
      <c r="G44" s="597">
        <f t="shared" si="2"/>
        <v>0.42484969939879758</v>
      </c>
      <c r="H44" s="759">
        <v>1484</v>
      </c>
      <c r="I44" s="760">
        <v>2009</v>
      </c>
      <c r="J44" s="597">
        <f t="shared" si="3"/>
        <v>0.42484969939879758</v>
      </c>
    </row>
    <row r="45" spans="2:11" ht="30">
      <c r="B45" s="911"/>
      <c r="C45" s="286" t="s">
        <v>38</v>
      </c>
      <c r="D45" s="13" t="s">
        <v>144</v>
      </c>
      <c r="E45" s="752">
        <v>319</v>
      </c>
      <c r="F45" s="755" t="s">
        <v>148</v>
      </c>
      <c r="G45" s="597" t="str">
        <f t="shared" si="2"/>
        <v>-</v>
      </c>
      <c r="H45" s="752">
        <v>319</v>
      </c>
      <c r="I45" s="755" t="s">
        <v>148</v>
      </c>
      <c r="J45" s="597" t="str">
        <f t="shared" si="3"/>
        <v>-</v>
      </c>
    </row>
    <row r="46" spans="2:11" ht="30">
      <c r="B46" s="912"/>
      <c r="C46" s="286" t="s">
        <v>39</v>
      </c>
      <c r="D46" s="13" t="s">
        <v>144</v>
      </c>
      <c r="E46" s="754" t="s">
        <v>148</v>
      </c>
      <c r="F46" s="755" t="s">
        <v>148</v>
      </c>
      <c r="G46" s="597" t="str">
        <f t="shared" si="2"/>
        <v>-</v>
      </c>
      <c r="H46" s="754" t="s">
        <v>148</v>
      </c>
      <c r="I46" s="755" t="s">
        <v>148</v>
      </c>
      <c r="J46" s="597" t="str">
        <f t="shared" si="3"/>
        <v>-</v>
      </c>
    </row>
    <row r="47" spans="2:11" ht="30">
      <c r="B47" s="910" t="s">
        <v>40</v>
      </c>
      <c r="C47" s="286" t="s">
        <v>143</v>
      </c>
      <c r="D47" s="13" t="s">
        <v>141</v>
      </c>
      <c r="E47" s="622">
        <v>0</v>
      </c>
      <c r="F47" s="622">
        <v>0</v>
      </c>
      <c r="G47" s="597" t="str">
        <f t="shared" si="2"/>
        <v>-</v>
      </c>
      <c r="H47" s="622">
        <v>0</v>
      </c>
      <c r="I47" s="622">
        <v>0</v>
      </c>
      <c r="J47" s="597" t="str">
        <f t="shared" si="3"/>
        <v>-</v>
      </c>
    </row>
    <row r="48" spans="2:11">
      <c r="B48" s="911"/>
      <c r="C48" s="286" t="s">
        <v>35</v>
      </c>
      <c r="D48" s="13" t="s">
        <v>141</v>
      </c>
      <c r="E48" s="622">
        <v>0</v>
      </c>
      <c r="F48" s="622">
        <v>0</v>
      </c>
      <c r="G48" s="597" t="str">
        <f t="shared" si="2"/>
        <v>-</v>
      </c>
      <c r="H48" s="622">
        <v>0</v>
      </c>
      <c r="I48" s="622">
        <v>0</v>
      </c>
      <c r="J48" s="597" t="str">
        <f t="shared" si="3"/>
        <v>-</v>
      </c>
    </row>
    <row r="49" spans="2:10" ht="30">
      <c r="B49" s="911"/>
      <c r="C49" s="286" t="s">
        <v>37</v>
      </c>
      <c r="D49" s="13" t="s">
        <v>141</v>
      </c>
      <c r="E49" s="622">
        <v>0</v>
      </c>
      <c r="F49" s="622">
        <v>0</v>
      </c>
      <c r="G49" s="597" t="str">
        <f t="shared" si="2"/>
        <v>-</v>
      </c>
      <c r="H49" s="622">
        <v>0</v>
      </c>
      <c r="I49" s="622">
        <v>0</v>
      </c>
      <c r="J49" s="597" t="str">
        <f t="shared" si="3"/>
        <v>-</v>
      </c>
    </row>
    <row r="50" spans="2:10" ht="30">
      <c r="B50" s="912"/>
      <c r="C50" s="286" t="s">
        <v>39</v>
      </c>
      <c r="D50" s="13" t="s">
        <v>141</v>
      </c>
      <c r="E50" s="622">
        <v>0</v>
      </c>
      <c r="F50" s="622">
        <v>0</v>
      </c>
      <c r="G50" s="597" t="str">
        <f t="shared" si="2"/>
        <v>-</v>
      </c>
      <c r="H50" s="622">
        <v>0</v>
      </c>
      <c r="I50" s="622">
        <v>0</v>
      </c>
      <c r="J50" s="597" t="str">
        <f t="shared" si="3"/>
        <v>-</v>
      </c>
    </row>
    <row r="51" spans="2:10">
      <c r="B51" s="434"/>
      <c r="C51" s="913" t="s">
        <v>152</v>
      </c>
      <c r="D51" s="914"/>
      <c r="E51" s="433">
        <f>SUMIF($D$33:$D$50, "Core", E$33:E$50)</f>
        <v>2051.6334870000001</v>
      </c>
      <c r="F51" s="433">
        <f>SUMIF($D$33:$D$50, "Core", F$33:F$50)</f>
        <v>4430.6475030000001</v>
      </c>
      <c r="G51" s="599">
        <f>E51/(E51+F51)</f>
        <v>0.31649869701189859</v>
      </c>
      <c r="H51" s="433">
        <f>SUMIF($D$33:$D$50, "Core", H$33:H$50)</f>
        <v>2051.6334870000001</v>
      </c>
      <c r="I51" s="433">
        <f>SUMIF($D$33:$D$50, "Core", I$33:I$50)</f>
        <v>4430.6475030000001</v>
      </c>
      <c r="J51" s="599">
        <f>H51/(H51+I51)</f>
        <v>0.31649869701189859</v>
      </c>
    </row>
    <row r="52" spans="2:10">
      <c r="B52" s="434"/>
      <c r="C52" s="913" t="s">
        <v>153</v>
      </c>
      <c r="D52" s="914"/>
      <c r="E52" s="433">
        <f>SUMIF($D$33:$D$50, "Additional", E$33:E$50)</f>
        <v>924.76326708122076</v>
      </c>
      <c r="F52" s="433">
        <f>SUMIF($D$33:$D$50, "Additional", F$33:F$50)</f>
        <v>1865.6583057027801</v>
      </c>
      <c r="G52" s="599">
        <f>E52/(E52+F52)</f>
        <v>0.33140629218924267</v>
      </c>
      <c r="H52" s="433">
        <f>SUMIF($D$33:$D$50, "Additional", H$33:H$50)</f>
        <v>924.76326708122076</v>
      </c>
      <c r="I52" s="433">
        <f>SUMIF($D$33:$D$50, "Additional", I$33:I$50)</f>
        <v>1865.6583057027801</v>
      </c>
      <c r="J52" s="599">
        <f>H52/(H52+I52)</f>
        <v>0.33140629218924267</v>
      </c>
    </row>
    <row r="53" spans="2:10">
      <c r="B53" s="434"/>
      <c r="C53" s="913" t="s">
        <v>154</v>
      </c>
      <c r="D53" s="914"/>
      <c r="E53" s="433">
        <f>SUM(E33:E50)</f>
        <v>2976.3967540812209</v>
      </c>
      <c r="F53" s="433">
        <f>SUM(F33:F50)</f>
        <v>6296.3058087027803</v>
      </c>
      <c r="G53" s="599">
        <f>E53/(E53+F53)</f>
        <v>0.32098481903506659</v>
      </c>
      <c r="H53" s="433">
        <f>SUM(H33:H50)</f>
        <v>2976.3967540812209</v>
      </c>
      <c r="I53" s="433">
        <f>SUM(I33:I50)</f>
        <v>6296.3058087027803</v>
      </c>
      <c r="J53" s="599">
        <f>H53/(H53+I53)</f>
        <v>0.32098481903506659</v>
      </c>
    </row>
    <row r="54" spans="2:10">
      <c r="B54" s="917" t="s">
        <v>155</v>
      </c>
      <c r="C54" s="917"/>
      <c r="D54" s="917"/>
      <c r="E54" s="917"/>
      <c r="F54" s="917"/>
      <c r="G54" s="917"/>
      <c r="H54" s="917"/>
      <c r="I54" s="917"/>
      <c r="J54" s="917"/>
    </row>
    <row r="55" spans="2:10">
      <c r="B55" s="910" t="s">
        <v>21</v>
      </c>
      <c r="C55" s="286" t="s">
        <v>22</v>
      </c>
      <c r="D55" s="286" t="s">
        <v>141</v>
      </c>
      <c r="E55" s="749">
        <v>40.369999999999997</v>
      </c>
      <c r="F55" s="750">
        <f>4186-E55</f>
        <v>4145.63</v>
      </c>
      <c r="G55" s="597">
        <f t="shared" ref="G55:G72" si="4">IFERROR(E55/(E55+F55),"-")</f>
        <v>9.6440516005733383E-3</v>
      </c>
      <c r="H55" s="749">
        <v>40.369999999999997</v>
      </c>
      <c r="I55" s="750">
        <f>4186-H55</f>
        <v>4145.63</v>
      </c>
      <c r="J55" s="597">
        <f t="shared" ref="J55:J72" si="5">IFERROR(H55/(H55+I55),"-")</f>
        <v>9.6440516005733383E-3</v>
      </c>
    </row>
    <row r="56" spans="2:10">
      <c r="B56" s="911"/>
      <c r="C56" s="286" t="s">
        <v>23</v>
      </c>
      <c r="D56" s="286" t="s">
        <v>141</v>
      </c>
      <c r="E56" s="749">
        <v>33.254250042999999</v>
      </c>
      <c r="F56" s="750">
        <f>1210-E56</f>
        <v>1176.745749957</v>
      </c>
      <c r="G56" s="597">
        <f t="shared" si="4"/>
        <v>2.748285127520661E-2</v>
      </c>
      <c r="H56" s="749">
        <v>33.254250042999999</v>
      </c>
      <c r="I56" s="750">
        <f>1210-H56</f>
        <v>1176.745749957</v>
      </c>
      <c r="J56" s="597">
        <f t="shared" si="5"/>
        <v>2.748285127520661E-2</v>
      </c>
    </row>
    <row r="57" spans="2:10" ht="30">
      <c r="B57" s="911"/>
      <c r="C57" s="286" t="s">
        <v>24</v>
      </c>
      <c r="D57" s="286" t="s">
        <v>141</v>
      </c>
      <c r="E57" s="749">
        <v>115.999025</v>
      </c>
      <c r="F57" s="750">
        <f>1504-E57</f>
        <v>1388.0009749999999</v>
      </c>
      <c r="G57" s="597">
        <f t="shared" si="4"/>
        <v>7.7127011303191495E-2</v>
      </c>
      <c r="H57" s="749">
        <v>115.999025</v>
      </c>
      <c r="I57" s="750">
        <f>1504-H57</f>
        <v>1388.0009749999999</v>
      </c>
      <c r="J57" s="597">
        <f t="shared" si="5"/>
        <v>7.7127011303191495E-2</v>
      </c>
    </row>
    <row r="58" spans="2:10" ht="30">
      <c r="B58" s="911"/>
      <c r="C58" s="286" t="s">
        <v>25</v>
      </c>
      <c r="D58" s="286" t="s">
        <v>141</v>
      </c>
      <c r="E58" s="749">
        <v>36.257374999999996</v>
      </c>
      <c r="F58" s="750">
        <v>543.81264999999996</v>
      </c>
      <c r="G58" s="598">
        <f t="shared" si="4"/>
        <v>6.2505169095748395E-2</v>
      </c>
      <c r="H58" s="749">
        <v>36.257374999999996</v>
      </c>
      <c r="I58" s="750">
        <v>543.81264999999996</v>
      </c>
      <c r="J58" s="597">
        <f t="shared" si="5"/>
        <v>6.2505169095748395E-2</v>
      </c>
    </row>
    <row r="59" spans="2:10">
      <c r="B59" s="911"/>
      <c r="C59" s="286" t="s">
        <v>26</v>
      </c>
      <c r="D59" s="286" t="s">
        <v>141</v>
      </c>
      <c r="E59" s="749">
        <v>0</v>
      </c>
      <c r="F59" s="750">
        <v>2670</v>
      </c>
      <c r="G59" s="597">
        <f t="shared" si="4"/>
        <v>0</v>
      </c>
      <c r="H59" s="749">
        <v>0</v>
      </c>
      <c r="I59" s="750">
        <v>2670</v>
      </c>
      <c r="J59" s="597">
        <f t="shared" si="5"/>
        <v>0</v>
      </c>
    </row>
    <row r="60" spans="2:10">
      <c r="B60" s="912"/>
      <c r="C60" s="286" t="s">
        <v>27</v>
      </c>
      <c r="D60" s="286" t="s">
        <v>141</v>
      </c>
      <c r="E60" s="749">
        <v>0</v>
      </c>
      <c r="F60" s="750">
        <v>19625</v>
      </c>
      <c r="G60" s="597">
        <f t="shared" si="4"/>
        <v>0</v>
      </c>
      <c r="H60" s="749">
        <v>0</v>
      </c>
      <c r="I60" s="750">
        <v>19625</v>
      </c>
      <c r="J60" s="597">
        <f t="shared" si="5"/>
        <v>0</v>
      </c>
    </row>
    <row r="61" spans="2:10">
      <c r="B61" s="910" t="s">
        <v>28</v>
      </c>
      <c r="C61" s="622" t="str">
        <f>C39</f>
        <v>Home Performance with Energy Star</v>
      </c>
      <c r="D61" s="286" t="s">
        <v>141</v>
      </c>
      <c r="E61" s="622">
        <v>91.528114560000006</v>
      </c>
      <c r="F61" s="622">
        <v>419.57498299999997</v>
      </c>
      <c r="G61" s="597">
        <f t="shared" si="4"/>
        <v>0.17907955361052227</v>
      </c>
      <c r="H61" s="622">
        <v>91.528114560000006</v>
      </c>
      <c r="I61" s="622">
        <v>419.57498299999997</v>
      </c>
      <c r="J61" s="597">
        <f t="shared" si="5"/>
        <v>0.17907955361052227</v>
      </c>
    </row>
    <row r="62" spans="2:10" ht="30">
      <c r="B62" s="911"/>
      <c r="C62" s="286" t="s">
        <v>30</v>
      </c>
      <c r="D62" s="13" t="s">
        <v>144</v>
      </c>
      <c r="E62" s="622">
        <v>3648.6519577680097</v>
      </c>
      <c r="F62" s="622">
        <v>14677.310450000001</v>
      </c>
      <c r="G62" s="597">
        <f t="shared" si="4"/>
        <v>0.19909742673167435</v>
      </c>
      <c r="H62" s="622">
        <v>3648.6519577680097</v>
      </c>
      <c r="I62" s="622">
        <v>14677.310450000001</v>
      </c>
      <c r="J62" s="597">
        <f t="shared" si="5"/>
        <v>0.19909742673167435</v>
      </c>
    </row>
    <row r="63" spans="2:10" ht="30">
      <c r="B63" s="912"/>
      <c r="C63" s="286" t="s">
        <v>31</v>
      </c>
      <c r="D63" s="13" t="s">
        <v>144</v>
      </c>
      <c r="E63" s="622">
        <v>0</v>
      </c>
      <c r="F63" s="622">
        <v>0</v>
      </c>
      <c r="G63" s="597" t="str">
        <f t="shared" si="4"/>
        <v>-</v>
      </c>
      <c r="H63" s="622">
        <v>0</v>
      </c>
      <c r="I63" s="622">
        <v>0</v>
      </c>
      <c r="J63" s="597" t="str">
        <f t="shared" si="5"/>
        <v>-</v>
      </c>
    </row>
    <row r="64" spans="2:10" ht="30">
      <c r="B64" s="432" t="s">
        <v>32</v>
      </c>
      <c r="C64" s="286" t="s">
        <v>33</v>
      </c>
      <c r="D64" s="13" t="s">
        <v>144</v>
      </c>
      <c r="E64" s="622">
        <f>E42</f>
        <v>328.58331831722006</v>
      </c>
      <c r="F64" s="622">
        <f>1178-E64</f>
        <v>849.41668168277988</v>
      </c>
      <c r="G64" s="597">
        <f t="shared" si="4"/>
        <v>0.27893320740001704</v>
      </c>
      <c r="H64" s="622">
        <f>H42</f>
        <v>328.58331831722006</v>
      </c>
      <c r="I64" s="622">
        <f>1178-H64</f>
        <v>849.41668168277988</v>
      </c>
      <c r="J64" s="597">
        <f t="shared" si="5"/>
        <v>0.27893320740001704</v>
      </c>
    </row>
    <row r="65" spans="2:10">
      <c r="B65" s="432" t="s">
        <v>147</v>
      </c>
      <c r="C65" s="286" t="s">
        <v>35</v>
      </c>
      <c r="D65" s="13" t="s">
        <v>141</v>
      </c>
      <c r="E65" s="751">
        <v>7830</v>
      </c>
      <c r="F65" s="761">
        <v>2174</v>
      </c>
      <c r="G65" s="597">
        <f t="shared" si="4"/>
        <v>0.78268692522990801</v>
      </c>
      <c r="H65" s="751">
        <v>7830</v>
      </c>
      <c r="I65" s="761">
        <v>2174</v>
      </c>
      <c r="J65" s="597">
        <f t="shared" si="5"/>
        <v>0.78268692522990801</v>
      </c>
    </row>
    <row r="66" spans="2:10" ht="30">
      <c r="B66" s="910" t="s">
        <v>36</v>
      </c>
      <c r="C66" s="286" t="s">
        <v>37</v>
      </c>
      <c r="D66" s="13" t="s">
        <v>141</v>
      </c>
      <c r="E66" s="760">
        <v>21502</v>
      </c>
      <c r="F66" s="762">
        <v>29526</v>
      </c>
      <c r="G66" s="597">
        <f t="shared" si="4"/>
        <v>0.42137649917692249</v>
      </c>
      <c r="H66" s="760">
        <v>21502</v>
      </c>
      <c r="I66" s="762">
        <v>29526</v>
      </c>
      <c r="J66" s="597">
        <f t="shared" si="5"/>
        <v>0.42137649917692249</v>
      </c>
    </row>
    <row r="67" spans="2:10" ht="30">
      <c r="B67" s="911"/>
      <c r="C67" s="286" t="s">
        <v>38</v>
      </c>
      <c r="D67" s="13" t="s">
        <v>144</v>
      </c>
      <c r="E67" s="760">
        <v>1595</v>
      </c>
      <c r="F67" s="755" t="s">
        <v>148</v>
      </c>
      <c r="G67" s="597" t="str">
        <f t="shared" si="4"/>
        <v>-</v>
      </c>
      <c r="H67" s="760">
        <v>1595</v>
      </c>
      <c r="I67" s="755" t="s">
        <v>148</v>
      </c>
      <c r="J67" s="597" t="str">
        <f t="shared" si="5"/>
        <v>-</v>
      </c>
    </row>
    <row r="68" spans="2:10" ht="30">
      <c r="B68" s="912"/>
      <c r="C68" s="286" t="s">
        <v>39</v>
      </c>
      <c r="D68" s="13" t="s">
        <v>144</v>
      </c>
      <c r="E68" s="754" t="s">
        <v>148</v>
      </c>
      <c r="F68" s="755" t="s">
        <v>148</v>
      </c>
      <c r="G68" s="597" t="str">
        <f t="shared" si="4"/>
        <v>-</v>
      </c>
      <c r="H68" s="754" t="s">
        <v>148</v>
      </c>
      <c r="I68" s="755" t="s">
        <v>148</v>
      </c>
      <c r="J68" s="597" t="str">
        <f t="shared" si="5"/>
        <v>-</v>
      </c>
    </row>
    <row r="69" spans="2:10" ht="30">
      <c r="B69" s="910" t="s">
        <v>40</v>
      </c>
      <c r="C69" s="286" t="s">
        <v>143</v>
      </c>
      <c r="D69" s="13" t="s">
        <v>141</v>
      </c>
      <c r="E69" s="622">
        <v>0</v>
      </c>
      <c r="F69" s="622">
        <v>0</v>
      </c>
      <c r="G69" s="597" t="str">
        <f t="shared" si="4"/>
        <v>-</v>
      </c>
      <c r="H69" s="622">
        <v>0</v>
      </c>
      <c r="I69" s="622">
        <v>0</v>
      </c>
      <c r="J69" s="597" t="str">
        <f t="shared" si="5"/>
        <v>-</v>
      </c>
    </row>
    <row r="70" spans="2:10">
      <c r="B70" s="911"/>
      <c r="C70" s="286" t="s">
        <v>35</v>
      </c>
      <c r="D70" s="13" t="s">
        <v>141</v>
      </c>
      <c r="E70" s="622">
        <v>0</v>
      </c>
      <c r="F70" s="622">
        <v>0</v>
      </c>
      <c r="G70" s="597" t="str">
        <f t="shared" si="4"/>
        <v>-</v>
      </c>
      <c r="H70" s="622">
        <v>0</v>
      </c>
      <c r="I70" s="622">
        <v>0</v>
      </c>
      <c r="J70" s="597" t="str">
        <f t="shared" si="5"/>
        <v>-</v>
      </c>
    </row>
    <row r="71" spans="2:10" ht="30">
      <c r="B71" s="911"/>
      <c r="C71" s="286" t="s">
        <v>37</v>
      </c>
      <c r="D71" s="13" t="s">
        <v>141</v>
      </c>
      <c r="E71" s="622">
        <v>0</v>
      </c>
      <c r="F71" s="622">
        <v>0</v>
      </c>
      <c r="G71" s="597" t="str">
        <f t="shared" si="4"/>
        <v>-</v>
      </c>
      <c r="H71" s="622">
        <v>0</v>
      </c>
      <c r="I71" s="622">
        <v>0</v>
      </c>
      <c r="J71" s="597" t="str">
        <f t="shared" si="5"/>
        <v>-</v>
      </c>
    </row>
    <row r="72" spans="2:10" ht="30">
      <c r="B72" s="912"/>
      <c r="C72" s="286" t="s">
        <v>39</v>
      </c>
      <c r="D72" s="13" t="s">
        <v>141</v>
      </c>
      <c r="E72" s="622">
        <v>0</v>
      </c>
      <c r="F72" s="622">
        <v>0</v>
      </c>
      <c r="G72" s="597" t="str">
        <f t="shared" si="4"/>
        <v>-</v>
      </c>
      <c r="H72" s="622">
        <v>0</v>
      </c>
      <c r="I72" s="622">
        <v>0</v>
      </c>
      <c r="J72" s="597" t="str">
        <f t="shared" si="5"/>
        <v>-</v>
      </c>
    </row>
    <row r="73" spans="2:10">
      <c r="B73" s="434"/>
      <c r="C73" s="913" t="s">
        <v>156</v>
      </c>
      <c r="D73" s="914"/>
      <c r="E73" s="433">
        <f>SUMIF($D$55:$D$72, "Core", E$55:E$72)</f>
        <v>29649.408764603002</v>
      </c>
      <c r="F73" s="433">
        <f>SUMIF($D$55:$D$72, "Core", F$55:F$72)</f>
        <v>61668.764357956999</v>
      </c>
      <c r="G73" s="599">
        <f>E73/(E73+F73)</f>
        <v>0.32468245641324778</v>
      </c>
      <c r="H73" s="433">
        <f>SUMIF($D$55:$D$72, "Core", H$55:H$72)</f>
        <v>29649.408764603002</v>
      </c>
      <c r="I73" s="433">
        <f>SUMIF($D$55:$D$72, "Core", I$55:I$72)</f>
        <v>61668.764357956999</v>
      </c>
      <c r="J73" s="599">
        <f>H73/(H73+I73)</f>
        <v>0.32468245641324778</v>
      </c>
    </row>
    <row r="74" spans="2:10">
      <c r="B74" s="434"/>
      <c r="C74" s="913" t="s">
        <v>157</v>
      </c>
      <c r="D74" s="914"/>
      <c r="E74" s="433">
        <f>SUMIF($D$55:$D$72, "Additional", E$55:E$72)</f>
        <v>5572.23527608523</v>
      </c>
      <c r="F74" s="433">
        <f>SUMIF($D$55:$D$72, "Additional", F$55:F$72)</f>
        <v>15526.727131682781</v>
      </c>
      <c r="G74" s="599">
        <f>E74/(E74+F74)</f>
        <v>0.26409996702177629</v>
      </c>
      <c r="H74" s="433">
        <f>SUMIF($D$55:$D$72, "Additional", H$55:H$72)</f>
        <v>5572.23527608523</v>
      </c>
      <c r="I74" s="433">
        <f>SUMIF($D$55:$D$72, "Additional", I$55:I$72)</f>
        <v>15526.727131682781</v>
      </c>
      <c r="J74" s="599">
        <f>H74/(H74+I74)</f>
        <v>0.26409996702177629</v>
      </c>
    </row>
    <row r="75" spans="2:10">
      <c r="B75" s="434"/>
      <c r="C75" s="913" t="s">
        <v>158</v>
      </c>
      <c r="D75" s="914"/>
      <c r="E75" s="433">
        <f>SUM(E55:E72)</f>
        <v>35221.644040688232</v>
      </c>
      <c r="F75" s="433">
        <f>SUM(F55:F72)</f>
        <v>77195.491489639782</v>
      </c>
      <c r="G75" s="599">
        <f>E75/(E75+F75)</f>
        <v>0.31331205758383784</v>
      </c>
      <c r="H75" s="433">
        <f>SUM(H55:H72)</f>
        <v>35221.644040688232</v>
      </c>
      <c r="I75" s="433">
        <f>SUM(I55:I72)</f>
        <v>77195.491489639782</v>
      </c>
      <c r="J75" s="599">
        <f>H75/(H75+I75)</f>
        <v>0.31331205758383784</v>
      </c>
    </row>
    <row r="76" spans="2:10" ht="72" customHeight="1">
      <c r="B76" s="915" t="s">
        <v>159</v>
      </c>
      <c r="C76" s="916"/>
      <c r="D76" s="916"/>
      <c r="E76" s="916"/>
      <c r="F76" s="916"/>
      <c r="G76" s="916"/>
      <c r="H76" s="916"/>
      <c r="I76" s="916"/>
      <c r="J76" s="916"/>
    </row>
  </sheetData>
  <mergeCells count="25">
    <mergeCell ref="B33:B38"/>
    <mergeCell ref="B10:J10"/>
    <mergeCell ref="B32:J32"/>
    <mergeCell ref="B11:B16"/>
    <mergeCell ref="B17:B19"/>
    <mergeCell ref="B22:B24"/>
    <mergeCell ref="B25:B28"/>
    <mergeCell ref="C29:D29"/>
    <mergeCell ref="C30:D30"/>
    <mergeCell ref="C31:D31"/>
    <mergeCell ref="B39:B41"/>
    <mergeCell ref="B44:B46"/>
    <mergeCell ref="B47:B50"/>
    <mergeCell ref="C51:D51"/>
    <mergeCell ref="C52:D52"/>
    <mergeCell ref="C53:D53"/>
    <mergeCell ref="B54:J54"/>
    <mergeCell ref="B55:B60"/>
    <mergeCell ref="B61:B63"/>
    <mergeCell ref="B66:B68"/>
    <mergeCell ref="B69:B72"/>
    <mergeCell ref="C73:D73"/>
    <mergeCell ref="C74:D74"/>
    <mergeCell ref="C75:D75"/>
    <mergeCell ref="B76:J76"/>
  </mergeCells>
  <pageMargins left="0.7" right="0.7" top="0.75" bottom="0.75" header="0.3" footer="0.3"/>
  <pageSetup orientation="portrait" r:id="rId1"/>
  <ignoredErrors>
    <ignoredError sqref="G31 G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N13"/>
  <sheetViews>
    <sheetView showGridLines="0" zoomScaleNormal="100" workbookViewId="0">
      <selection activeCell="M22" sqref="M22"/>
    </sheetView>
  </sheetViews>
  <sheetFormatPr defaultRowHeight="15"/>
  <cols>
    <col min="1" max="1" width="4.85546875" customWidth="1"/>
    <col min="2" max="2" width="32.140625" bestFit="1" customWidth="1"/>
    <col min="3" max="14" width="9.7109375" customWidth="1"/>
  </cols>
  <sheetData>
    <row r="1" spans="1:14">
      <c r="A1" s="342"/>
      <c r="B1" s="342"/>
      <c r="C1" s="342"/>
    </row>
    <row r="2" spans="1:14">
      <c r="A2" s="342"/>
      <c r="B2" t="s">
        <v>160</v>
      </c>
    </row>
    <row r="3" spans="1:14">
      <c r="A3" s="342"/>
      <c r="B3" s="919"/>
      <c r="C3" s="921" t="s">
        <v>161</v>
      </c>
      <c r="D3" s="921"/>
      <c r="E3" s="921"/>
      <c r="F3" s="921"/>
      <c r="G3" s="921"/>
      <c r="H3" s="921"/>
      <c r="I3" s="921" t="s">
        <v>162</v>
      </c>
      <c r="J3" s="921"/>
      <c r="K3" s="921"/>
      <c r="L3" s="921"/>
      <c r="M3" s="921"/>
      <c r="N3" s="921"/>
    </row>
    <row r="4" spans="1:14">
      <c r="A4" s="342"/>
      <c r="B4" s="920"/>
      <c r="C4" s="275" t="s">
        <v>163</v>
      </c>
      <c r="D4" s="274" t="s">
        <v>164</v>
      </c>
      <c r="E4" s="274" t="s">
        <v>165</v>
      </c>
      <c r="F4" s="273" t="s">
        <v>166</v>
      </c>
      <c r="G4" s="272" t="s">
        <v>167</v>
      </c>
      <c r="H4" s="272" t="s">
        <v>168</v>
      </c>
      <c r="I4" s="275" t="s">
        <v>163</v>
      </c>
      <c r="J4" s="274" t="s">
        <v>164</v>
      </c>
      <c r="K4" s="274" t="s">
        <v>165</v>
      </c>
      <c r="L4" s="273" t="s">
        <v>166</v>
      </c>
      <c r="M4" s="272" t="s">
        <v>167</v>
      </c>
      <c r="N4" s="272" t="s">
        <v>168</v>
      </c>
    </row>
    <row r="5" spans="1:14">
      <c r="B5" s="13" t="s">
        <v>169</v>
      </c>
      <c r="C5" s="499">
        <v>3.8</v>
      </c>
      <c r="D5" s="499">
        <v>5.5</v>
      </c>
      <c r="E5" s="499">
        <v>3.2</v>
      </c>
      <c r="F5" s="500">
        <v>1.5</v>
      </c>
      <c r="G5" s="500">
        <v>2.9</v>
      </c>
      <c r="H5" s="500">
        <v>7.4</v>
      </c>
      <c r="I5" s="502">
        <f>'AP H - CostTest'!$G$49</f>
        <v>2.285043159517441</v>
      </c>
      <c r="J5" s="502">
        <f>'AP H - CostTest'!$G$23</f>
        <v>8.2032847419263124</v>
      </c>
      <c r="K5" s="502">
        <f>'AP H - CostTest'!$G$26</f>
        <v>0.98637837503576731</v>
      </c>
      <c r="L5" s="502">
        <f>'AP H - CostTest'!$G$31</f>
        <v>0.24942845238377662</v>
      </c>
      <c r="M5" s="502">
        <f>'AP H - CostTest'!$G$18</f>
        <v>0.8479883914825378</v>
      </c>
      <c r="N5" s="502">
        <v>1.01569297647583</v>
      </c>
    </row>
    <row r="6" spans="1:14">
      <c r="B6" s="13" t="s">
        <v>99</v>
      </c>
      <c r="C6" s="499">
        <v>5.2</v>
      </c>
      <c r="D6" s="499">
        <v>6.5</v>
      </c>
      <c r="E6" s="499">
        <v>4.8</v>
      </c>
      <c r="F6" s="500">
        <v>2</v>
      </c>
      <c r="G6" s="500">
        <v>3.9</v>
      </c>
      <c r="H6" s="500">
        <v>11</v>
      </c>
      <c r="I6" s="502">
        <f>'AP H - CostTest'!$D$49</f>
        <v>1.3053558739628566</v>
      </c>
      <c r="J6" s="502">
        <f>'AP H - CostTest'!$D$23</f>
        <v>3.8039183004042512</v>
      </c>
      <c r="K6" s="502">
        <f>'AP H - CostTest'!$D$26</f>
        <v>0.6870310655102162</v>
      </c>
      <c r="L6" s="502">
        <f>'AP H - CostTest'!$D$31</f>
        <v>0.26101354461764914</v>
      </c>
      <c r="M6" s="502">
        <f>'AP H - CostTest'!$D$18</f>
        <v>0.54968235386226594</v>
      </c>
      <c r="N6" s="502">
        <v>0.68194573915091194</v>
      </c>
    </row>
    <row r="7" spans="1:14">
      <c r="B7" s="13" t="s">
        <v>20</v>
      </c>
      <c r="C7" s="499">
        <v>3.1</v>
      </c>
      <c r="D7" s="499">
        <v>5.5</v>
      </c>
      <c r="E7" s="499">
        <v>2.7</v>
      </c>
      <c r="F7" s="500">
        <v>1.1000000000000001</v>
      </c>
      <c r="G7" s="500">
        <v>2.4</v>
      </c>
      <c r="H7" s="500">
        <v>5.2</v>
      </c>
      <c r="I7" s="502">
        <v>3.3430276024051202</v>
      </c>
      <c r="J7" s="502">
        <v>15.222879798160401</v>
      </c>
      <c r="K7" s="502">
        <v>1.2662724440875499</v>
      </c>
      <c r="L7" s="502">
        <v>0.243935831733085</v>
      </c>
      <c r="M7" s="502">
        <v>1.1701352149386199</v>
      </c>
      <c r="N7" s="502">
        <v>1.37611348019465</v>
      </c>
    </row>
    <row r="8" spans="1:14">
      <c r="B8" s="13" t="s">
        <v>147</v>
      </c>
      <c r="C8" s="499">
        <v>2.6</v>
      </c>
      <c r="D8" s="499">
        <v>4.7</v>
      </c>
      <c r="E8" s="499">
        <v>1.7</v>
      </c>
      <c r="F8" s="500">
        <v>1</v>
      </c>
      <c r="G8" s="500">
        <v>1.9</v>
      </c>
      <c r="H8" s="500">
        <v>4.8</v>
      </c>
      <c r="I8" s="502">
        <f>'AP H - CostTest'!$I$49</f>
        <v>0</v>
      </c>
      <c r="J8" s="502">
        <f>'AP H - CostTest'!$I$23</f>
        <v>0</v>
      </c>
      <c r="K8" s="502">
        <f>'AP H - CostTest'!$I$26</f>
        <v>0</v>
      </c>
      <c r="L8" s="502">
        <f>'AP H - CostTest'!$I$31</f>
        <v>0</v>
      </c>
      <c r="M8" s="502">
        <f>'AP H - CostTest'!$I$18</f>
        <v>0</v>
      </c>
      <c r="N8" s="502">
        <v>0</v>
      </c>
    </row>
    <row r="9" spans="1:14">
      <c r="B9" s="13" t="s">
        <v>21</v>
      </c>
      <c r="C9" s="499">
        <v>4.5999999999999996</v>
      </c>
      <c r="D9" s="499">
        <v>10.199999999999999</v>
      </c>
      <c r="E9" s="499">
        <v>3.7</v>
      </c>
      <c r="F9" s="500">
        <v>1.2</v>
      </c>
      <c r="G9" s="500">
        <v>3.5</v>
      </c>
      <c r="H9" s="500">
        <v>7.5</v>
      </c>
      <c r="I9" s="502">
        <f>'AP H - CostTest'!$H$49</f>
        <v>4.3776908628690645</v>
      </c>
      <c r="J9" s="502">
        <f>'AP H - CostTest'!$H$23</f>
        <v>14.39901343597217</v>
      </c>
      <c r="K9" s="502">
        <f>'AP H - CostTest'!$H$26</f>
        <v>1.7053001645518653</v>
      </c>
      <c r="L9" s="502">
        <f>'AP H - CostTest'!$H$31</f>
        <v>0.25205303136027352</v>
      </c>
      <c r="M9" s="502">
        <f>'AP H - CostTest'!$H$18</f>
        <v>1.5003459427272223</v>
      </c>
      <c r="N9" s="502">
        <v>1.77582977007264</v>
      </c>
    </row>
    <row r="10" spans="1:14">
      <c r="B10" s="13" t="s">
        <v>36</v>
      </c>
      <c r="C10" s="501">
        <v>7.3907289515709147</v>
      </c>
      <c r="D10" s="501">
        <v>7.7471539987534408</v>
      </c>
      <c r="E10" s="501">
        <v>10.376766467040156</v>
      </c>
      <c r="F10" s="501">
        <v>2.7950720036997025</v>
      </c>
      <c r="G10" s="501">
        <v>5.6959702145611315</v>
      </c>
      <c r="H10" s="501">
        <v>16.28771657135146</v>
      </c>
      <c r="I10" s="502">
        <f>'AP H - CostTest'!$J$49</f>
        <v>1.7034251452499201</v>
      </c>
      <c r="J10" s="502">
        <f>'AP H - CostTest'!$J$23</f>
        <v>3.8039183004042512</v>
      </c>
      <c r="K10" s="502">
        <f>'AP H - CostTest'!$J$26</f>
        <v>0.97049100876765504</v>
      </c>
      <c r="L10" s="502">
        <f>'AP H - CostTest'!$J$31</f>
        <v>0.29359204868874139</v>
      </c>
      <c r="M10" s="502">
        <f>'AP H - CostTest'!$J$18</f>
        <v>0.71730840772682014</v>
      </c>
      <c r="N10" s="502">
        <v>0.88990561343178998</v>
      </c>
    </row>
    <row r="11" spans="1:14">
      <c r="B11" s="13" t="s">
        <v>28</v>
      </c>
      <c r="C11" s="501">
        <v>1.6166741131827793</v>
      </c>
      <c r="D11" s="501">
        <v>2.7428497342627178</v>
      </c>
      <c r="E11" s="501">
        <v>1.2834301585087025</v>
      </c>
      <c r="F11" s="501">
        <v>0.76940907816116932</v>
      </c>
      <c r="G11" s="501">
        <v>1.1606292552553075</v>
      </c>
      <c r="H11" s="501">
        <v>2.7258823624604727</v>
      </c>
      <c r="I11" s="502">
        <f>'AP H - CostTest'!$K$49</f>
        <v>7.0457139718472062E-2</v>
      </c>
      <c r="J11" s="502">
        <f>'AP H - CostTest'!$K$23</f>
        <v>1.8579073834007962</v>
      </c>
      <c r="K11" s="502">
        <f>'AP H - CostTest'!$K$26</f>
        <v>2.1101947977855567E-2</v>
      </c>
      <c r="L11" s="502">
        <f>'AP H - CostTest'!$K$31</f>
        <v>1.9552866217914074E-2</v>
      </c>
      <c r="M11" s="502">
        <f>'AP H - CostTest'!$K$18</f>
        <v>2.056410875960166E-2</v>
      </c>
      <c r="N11" s="502">
        <v>2.6577087435215099E-2</v>
      </c>
    </row>
    <row r="12" spans="1:14">
      <c r="B12" s="13" t="s">
        <v>170</v>
      </c>
      <c r="C12" s="501">
        <v>2.9</v>
      </c>
      <c r="D12" s="501">
        <v>4.8</v>
      </c>
      <c r="E12" s="501">
        <v>2.6</v>
      </c>
      <c r="F12" s="501">
        <v>1.1000000000000001</v>
      </c>
      <c r="G12" s="501">
        <v>2.6</v>
      </c>
      <c r="H12" s="501">
        <v>3.9</v>
      </c>
      <c r="I12" s="502">
        <f>'AP H - CostTest'!$L$49</f>
        <v>6.2004282268377535</v>
      </c>
      <c r="J12" s="502">
        <f>'AP H - CostTest'!$L$23</f>
        <v>25.420585637889175</v>
      </c>
      <c r="K12" s="502">
        <f>'AP H - CostTest'!$L$26</f>
        <v>2.3197754126461825</v>
      </c>
      <c r="L12" s="502">
        <f>'AP H - CostTest'!$L$31</f>
        <v>0.28335988295878328</v>
      </c>
      <c r="M12" s="502">
        <f>'AP H - CostTest'!$L$18</f>
        <v>2.3197754126461825</v>
      </c>
      <c r="N12" s="502">
        <v>2.6729582114031101</v>
      </c>
    </row>
    <row r="13" spans="1:14">
      <c r="B13" s="13" t="s">
        <v>40</v>
      </c>
      <c r="C13" s="501">
        <v>4.2</v>
      </c>
      <c r="D13" s="501">
        <v>6</v>
      </c>
      <c r="E13" s="501">
        <v>3.1</v>
      </c>
      <c r="F13" s="501">
        <v>1.2</v>
      </c>
      <c r="G13" s="501">
        <v>3.1</v>
      </c>
      <c r="H13" s="501">
        <v>6.9</v>
      </c>
      <c r="I13" s="502">
        <v>0</v>
      </c>
      <c r="J13" s="502">
        <v>0</v>
      </c>
      <c r="K13" s="502">
        <v>0</v>
      </c>
      <c r="L13" s="502">
        <v>0</v>
      </c>
      <c r="M13" s="502">
        <v>0</v>
      </c>
      <c r="N13" s="502">
        <v>0</v>
      </c>
    </row>
  </sheetData>
  <mergeCells count="3">
    <mergeCell ref="B3:B4"/>
    <mergeCell ref="C3:H3"/>
    <mergeCell ref="I3:N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4CD27-EE18-4C7B-87A7-F9387C588893}">
  <sheetPr>
    <tabColor theme="4" tint="0.39997558519241921"/>
  </sheetPr>
  <dimension ref="A1:H7"/>
  <sheetViews>
    <sheetView zoomScale="120" zoomScaleNormal="120" workbookViewId="0">
      <selection activeCell="C7" sqref="C7"/>
    </sheetView>
  </sheetViews>
  <sheetFormatPr defaultRowHeight="15"/>
  <cols>
    <col min="1" max="3" width="20.140625" customWidth="1"/>
    <col min="4" max="4" width="19.28515625" bestFit="1" customWidth="1"/>
    <col min="5" max="5" width="19.85546875" bestFit="1" customWidth="1"/>
    <col min="6" max="6" width="21.28515625" customWidth="1"/>
    <col min="7" max="9" width="20.140625" customWidth="1"/>
  </cols>
  <sheetData>
    <row r="1" spans="1:8">
      <c r="A1" t="s">
        <v>171</v>
      </c>
    </row>
    <row r="2" spans="1:8">
      <c r="B2" s="723"/>
    </row>
    <row r="3" spans="1:8">
      <c r="B3" s="922" t="s">
        <v>172</v>
      </c>
      <c r="C3" s="922"/>
      <c r="D3" s="922" t="s">
        <v>173</v>
      </c>
      <c r="E3" s="922"/>
      <c r="F3" s="922"/>
      <c r="G3" s="923" t="s">
        <v>174</v>
      </c>
      <c r="H3" s="924"/>
    </row>
    <row r="4" spans="1:8" ht="45">
      <c r="A4" s="724" t="s">
        <v>6</v>
      </c>
      <c r="B4" s="725" t="s">
        <v>175</v>
      </c>
      <c r="C4" s="725" t="s">
        <v>176</v>
      </c>
      <c r="D4" s="726" t="s">
        <v>177</v>
      </c>
      <c r="E4" s="726" t="s">
        <v>178</v>
      </c>
      <c r="F4" s="726" t="s">
        <v>179</v>
      </c>
      <c r="G4" s="726" t="s">
        <v>180</v>
      </c>
      <c r="H4" s="726" t="s">
        <v>181</v>
      </c>
    </row>
    <row r="5" spans="1:8">
      <c r="A5" s="727" t="s">
        <v>19</v>
      </c>
      <c r="B5" s="732">
        <f>SUM(' Ap C - Qtr Electric LMI'!$F$12:$G$12)+475.9525</f>
        <v>1154.1954999999998</v>
      </c>
      <c r="C5" s="732">
        <f>SUM(' Ap C - Qtr Electric LMI'!$F$12:$G$12)+475.9525</f>
        <v>1154.1954999999998</v>
      </c>
      <c r="D5" s="729">
        <f>'Ap B - Qtr Electric Master'!Q16+2.918</f>
        <v>3.0102986940000003</v>
      </c>
      <c r="E5" s="728">
        <f>'Ap B - Qtr Electric Master'!N16+6280</f>
        <v>7694.8835719999997</v>
      </c>
      <c r="F5" s="728">
        <f>'Ap B - Qtr Electric Master'!S16+6280</f>
        <v>24605.96240280287</v>
      </c>
      <c r="G5" s="728">
        <f>37965.295030772/10</f>
        <v>3796.5295030772004</v>
      </c>
      <c r="H5" s="728">
        <f>353721.326613492/10</f>
        <v>35372.132661349198</v>
      </c>
    </row>
    <row r="7" spans="1:8">
      <c r="A7" s="9"/>
    </row>
  </sheetData>
  <mergeCells count="3">
    <mergeCell ref="B3:C3"/>
    <mergeCell ref="D3:F3"/>
    <mergeCell ref="G3:H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
  <sheetViews>
    <sheetView showGridLines="0" workbookViewId="0">
      <selection activeCell="J19" sqref="J19"/>
    </sheetView>
  </sheetViews>
  <sheetFormatPr defaultRowHeight="15"/>
  <sheetData>
    <row r="2" spans="2:2">
      <c r="B2" s="353" t="s">
        <v>182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A1:AK72"/>
  <sheetViews>
    <sheetView zoomScale="80" zoomScaleNormal="80" zoomScaleSheetLayoutView="100" workbookViewId="0">
      <selection activeCell="AH10" sqref="AH10"/>
    </sheetView>
  </sheetViews>
  <sheetFormatPr defaultColWidth="9.28515625" defaultRowHeight="15"/>
  <cols>
    <col min="1" max="1" width="6.42578125" customWidth="1"/>
    <col min="2" max="2" width="20.85546875" customWidth="1"/>
    <col min="3" max="3" width="31.5703125" bestFit="1" customWidth="1"/>
    <col min="4" max="4" width="14.7109375" customWidth="1"/>
    <col min="5" max="5" width="13" customWidth="1"/>
    <col min="6" max="6" width="12.140625" customWidth="1"/>
    <col min="7" max="7" width="11.7109375" customWidth="1"/>
    <col min="8" max="8" width="12.42578125" customWidth="1"/>
    <col min="9" max="9" width="15.140625" customWidth="1"/>
    <col min="10" max="10" width="12.140625" customWidth="1"/>
    <col min="11" max="11" width="11.5703125" customWidth="1"/>
    <col min="12" max="12" width="13.85546875" customWidth="1"/>
    <col min="13" max="13" width="13.5703125" customWidth="1"/>
    <col min="14" max="14" width="14.140625" style="2" customWidth="1"/>
    <col min="15" max="15" width="11.42578125" style="2" customWidth="1"/>
    <col min="16" max="16" width="19.5703125" style="2" customWidth="1"/>
    <col min="17" max="17" width="11.85546875" style="3" customWidth="1"/>
    <col min="18" max="18" width="13" customWidth="1"/>
    <col min="19" max="19" width="13.42578125" style="2" customWidth="1"/>
    <col min="20" max="20" width="14.85546875" hidden="1" customWidth="1"/>
    <col min="21" max="21" width="16.7109375" hidden="1" customWidth="1"/>
    <col min="22" max="22" width="15.42578125" hidden="1" customWidth="1"/>
    <col min="23" max="23" width="13.28515625" customWidth="1"/>
    <col min="24" max="24" width="0" hidden="1" customWidth="1"/>
    <col min="25" max="25" width="14.28515625" hidden="1" customWidth="1"/>
    <col min="26" max="26" width="50.7109375" hidden="1" customWidth="1"/>
    <col min="27" max="30" width="14.28515625" hidden="1" customWidth="1"/>
    <col min="31" max="31" width="13.7109375" hidden="1" customWidth="1"/>
    <col min="32" max="32" width="12" hidden="1" customWidth="1"/>
  </cols>
  <sheetData>
    <row r="1" spans="1:33" ht="23.25">
      <c r="A1" s="1" t="s">
        <v>183</v>
      </c>
      <c r="D1" s="889"/>
      <c r="E1" s="889"/>
      <c r="F1" s="889"/>
      <c r="G1" s="553"/>
      <c r="N1" s="698"/>
      <c r="O1" s="698"/>
      <c r="P1" s="698"/>
      <c r="S1" s="32"/>
    </row>
    <row r="2" spans="1:33" ht="18.75">
      <c r="D2" s="889"/>
      <c r="E2" s="889"/>
      <c r="F2" s="889"/>
      <c r="G2" s="889"/>
      <c r="H2" s="5"/>
      <c r="I2" s="344"/>
      <c r="J2" s="481"/>
      <c r="N2" s="698"/>
      <c r="O2" s="698"/>
      <c r="P2" s="698"/>
      <c r="S2" s="32"/>
    </row>
    <row r="3" spans="1:33" ht="19.5" thickBot="1">
      <c r="A3" s="5"/>
      <c r="B3" s="5" t="s">
        <v>184</v>
      </c>
      <c r="C3" s="5"/>
      <c r="F3" s="344"/>
      <c r="I3" s="5"/>
      <c r="J3" s="5"/>
      <c r="K3" s="5"/>
      <c r="L3" s="5"/>
      <c r="M3" s="5"/>
      <c r="Q3" s="9"/>
      <c r="S3" s="32"/>
    </row>
    <row r="4" spans="1:33" ht="15.75" thickBot="1">
      <c r="A4" t="s">
        <v>146</v>
      </c>
      <c r="B4" s="736"/>
      <c r="C4" s="27"/>
      <c r="D4" s="931" t="s">
        <v>185</v>
      </c>
      <c r="E4" s="932"/>
      <c r="F4" s="932"/>
      <c r="G4" s="933"/>
      <c r="H4" s="934" t="s">
        <v>186</v>
      </c>
      <c r="I4" s="935"/>
      <c r="J4" s="935"/>
      <c r="K4" s="935"/>
      <c r="L4" s="928" t="s">
        <v>187</v>
      </c>
      <c r="M4" s="929"/>
      <c r="N4" s="929"/>
      <c r="O4" s="929"/>
      <c r="P4" s="929"/>
      <c r="Q4" s="929"/>
      <c r="R4" s="929"/>
      <c r="S4" s="930"/>
      <c r="T4" s="926" t="s">
        <v>188</v>
      </c>
      <c r="U4" s="926"/>
      <c r="V4" s="927"/>
    </row>
    <row r="5" spans="1:33">
      <c r="B5" s="29"/>
      <c r="C5" s="29"/>
      <c r="D5" s="602" t="s">
        <v>189</v>
      </c>
      <c r="E5" s="14" t="s">
        <v>190</v>
      </c>
      <c r="F5" s="14" t="s">
        <v>191</v>
      </c>
      <c r="G5" s="334" t="s">
        <v>192</v>
      </c>
      <c r="H5" s="23" t="s">
        <v>193</v>
      </c>
      <c r="I5" s="24" t="s">
        <v>194</v>
      </c>
      <c r="J5" s="24" t="s">
        <v>195</v>
      </c>
      <c r="K5" s="303" t="s">
        <v>196</v>
      </c>
      <c r="L5" s="6" t="s">
        <v>197</v>
      </c>
      <c r="M5" s="20" t="s">
        <v>198</v>
      </c>
      <c r="N5" s="6" t="s">
        <v>199</v>
      </c>
      <c r="O5" s="20" t="s">
        <v>200</v>
      </c>
      <c r="P5" s="20" t="s">
        <v>201</v>
      </c>
      <c r="Q5" s="14" t="s">
        <v>202</v>
      </c>
      <c r="R5" s="42" t="s">
        <v>203</v>
      </c>
      <c r="S5" s="309" t="s">
        <v>204</v>
      </c>
      <c r="T5" s="591" t="s">
        <v>205</v>
      </c>
      <c r="U5" s="591" t="s">
        <v>206</v>
      </c>
      <c r="V5" s="592" t="s">
        <v>207</v>
      </c>
      <c r="W5" s="172"/>
      <c r="X5" s="172"/>
      <c r="Y5" s="172"/>
      <c r="Z5" s="172"/>
    </row>
    <row r="6" spans="1:33" ht="55.5" customHeight="1" thickBot="1">
      <c r="B6" s="28"/>
      <c r="C6" s="28"/>
      <c r="D6" s="603" t="s">
        <v>59</v>
      </c>
      <c r="E6" s="604" t="s">
        <v>208</v>
      </c>
      <c r="F6" s="604" t="s">
        <v>10</v>
      </c>
      <c r="G6" s="605" t="s">
        <v>209</v>
      </c>
      <c r="H6" s="25" t="s">
        <v>210</v>
      </c>
      <c r="I6" s="26" t="s">
        <v>211</v>
      </c>
      <c r="J6" s="26" t="s">
        <v>212</v>
      </c>
      <c r="K6" s="304" t="s">
        <v>213</v>
      </c>
      <c r="L6" s="310" t="s">
        <v>214</v>
      </c>
      <c r="M6" s="21" t="s">
        <v>215</v>
      </c>
      <c r="N6" s="12" t="s">
        <v>216</v>
      </c>
      <c r="O6" s="22" t="s">
        <v>217</v>
      </c>
      <c r="P6" s="22" t="s">
        <v>218</v>
      </c>
      <c r="Q6" s="7" t="s">
        <v>219</v>
      </c>
      <c r="R6" s="22" t="s">
        <v>220</v>
      </c>
      <c r="S6" s="311" t="s">
        <v>221</v>
      </c>
      <c r="T6" s="7" t="s">
        <v>222</v>
      </c>
      <c r="U6" s="7" t="s">
        <v>223</v>
      </c>
      <c r="V6" s="7" t="s">
        <v>224</v>
      </c>
      <c r="X6" s="557" t="s">
        <v>225</v>
      </c>
      <c r="Y6" s="557" t="s">
        <v>7</v>
      </c>
      <c r="Z6" s="557" t="s">
        <v>226</v>
      </c>
      <c r="AA6" s="558" t="s">
        <v>227</v>
      </c>
      <c r="AB6" s="558" t="s">
        <v>228</v>
      </c>
      <c r="AC6" s="558" t="s">
        <v>229</v>
      </c>
      <c r="AD6" s="558" t="s">
        <v>227</v>
      </c>
      <c r="AE6" s="558" t="s">
        <v>228</v>
      </c>
      <c r="AF6" s="558" t="s">
        <v>229</v>
      </c>
    </row>
    <row r="7" spans="1:33" ht="15.75" customHeight="1" thickBot="1">
      <c r="B7" s="47" t="s">
        <v>230</v>
      </c>
      <c r="C7" s="142" t="s">
        <v>231</v>
      </c>
      <c r="D7" s="415"/>
      <c r="E7" s="82"/>
      <c r="F7" s="174"/>
      <c r="G7" s="102"/>
      <c r="H7" s="81"/>
      <c r="I7" s="82"/>
      <c r="J7" s="83"/>
      <c r="K7" s="305"/>
      <c r="L7" s="128"/>
      <c r="M7" s="82"/>
      <c r="N7" s="129"/>
      <c r="O7" s="103"/>
      <c r="P7" s="129"/>
      <c r="Q7" s="129"/>
      <c r="R7" s="173"/>
      <c r="S7" s="312"/>
      <c r="T7" s="614"/>
      <c r="U7" s="615"/>
      <c r="V7" s="616"/>
      <c r="X7" s="451">
        <v>1</v>
      </c>
      <c r="Y7" s="451" t="s">
        <v>232</v>
      </c>
      <c r="Z7" s="451" t="s">
        <v>233</v>
      </c>
      <c r="AA7" s="452">
        <v>0.115</v>
      </c>
      <c r="AB7" s="452">
        <v>0.13400000000000001</v>
      </c>
      <c r="AC7" s="452">
        <v>1.4999999999999999E-2</v>
      </c>
      <c r="AD7" s="559">
        <f>(AA7+1)</f>
        <v>1.115</v>
      </c>
      <c r="AE7" s="559">
        <f>(AB7+1)</f>
        <v>1.1339999999999999</v>
      </c>
      <c r="AF7" s="559">
        <f t="shared" ref="AE7:AF17" si="0">(AC7+1)</f>
        <v>1.0149999999999999</v>
      </c>
      <c r="AG7" s="712" t="s">
        <v>146</v>
      </c>
    </row>
    <row r="8" spans="1:33" ht="15.75" customHeight="1">
      <c r="B8" s="941" t="s">
        <v>234</v>
      </c>
      <c r="C8" s="76" t="s">
        <v>22</v>
      </c>
      <c r="D8" s="634">
        <v>953</v>
      </c>
      <c r="E8" s="224" t="s">
        <v>107</v>
      </c>
      <c r="F8" s="634">
        <v>953</v>
      </c>
      <c r="G8" s="225" t="s">
        <v>107</v>
      </c>
      <c r="H8" s="776">
        <v>2267.99334</v>
      </c>
      <c r="I8" s="777" t="s">
        <v>235</v>
      </c>
      <c r="J8" s="778">
        <v>2267.99334</v>
      </c>
      <c r="K8" s="226" t="s">
        <v>107</v>
      </c>
      <c r="L8" s="634">
        <v>269.68432109999998</v>
      </c>
      <c r="M8" s="227" t="s">
        <v>235</v>
      </c>
      <c r="N8" s="634">
        <v>269.68432109999998</v>
      </c>
      <c r="O8" s="606" t="s">
        <v>235</v>
      </c>
      <c r="P8" s="224">
        <f>L8*$AD$8</f>
        <v>300.69801802649999</v>
      </c>
      <c r="Q8" s="779">
        <v>0.171311993</v>
      </c>
      <c r="R8" s="634">
        <v>4186.2622201000004</v>
      </c>
      <c r="S8" s="780">
        <v>4186.2622201000004</v>
      </c>
      <c r="T8" s="779"/>
      <c r="U8" s="634"/>
      <c r="V8" s="635"/>
      <c r="W8" s="172"/>
      <c r="X8" s="451">
        <v>2</v>
      </c>
      <c r="Y8" s="451" t="s">
        <v>232</v>
      </c>
      <c r="Z8" s="451" t="s">
        <v>21</v>
      </c>
      <c r="AA8" s="452">
        <v>0.115</v>
      </c>
      <c r="AB8" s="452">
        <v>0.13400000000000001</v>
      </c>
      <c r="AC8" s="452">
        <v>1.4999999999999999E-2</v>
      </c>
      <c r="AD8" s="559">
        <f t="shared" ref="AD8:AD17" si="1">(AA8+1)</f>
        <v>1.115</v>
      </c>
      <c r="AE8" s="559">
        <f t="shared" si="0"/>
        <v>1.1339999999999999</v>
      </c>
      <c r="AF8" s="559">
        <f t="shared" si="0"/>
        <v>1.0149999999999999</v>
      </c>
    </row>
    <row r="9" spans="1:33">
      <c r="B9" s="942"/>
      <c r="C9" s="171" t="s">
        <v>23</v>
      </c>
      <c r="D9" s="636">
        <v>1150</v>
      </c>
      <c r="E9" s="160" t="s">
        <v>107</v>
      </c>
      <c r="F9" s="636">
        <v>1150</v>
      </c>
      <c r="G9" s="228" t="s">
        <v>107</v>
      </c>
      <c r="H9" s="781">
        <v>389.2518</v>
      </c>
      <c r="I9" s="782" t="s">
        <v>235</v>
      </c>
      <c r="J9" s="783">
        <v>389.2518</v>
      </c>
      <c r="K9" s="229" t="s">
        <v>107</v>
      </c>
      <c r="L9" s="636">
        <v>100.17304129999999</v>
      </c>
      <c r="M9" s="230" t="s">
        <v>235</v>
      </c>
      <c r="N9" s="636">
        <v>100.17304129999999</v>
      </c>
      <c r="O9" s="231" t="s">
        <v>235</v>
      </c>
      <c r="P9" s="148">
        <f t="shared" ref="P9:P13" si="2">L9*$AD$8</f>
        <v>111.69294104949999</v>
      </c>
      <c r="Q9" s="784">
        <v>1.2177385000000001E-2</v>
      </c>
      <c r="R9" s="636">
        <v>1209.604566</v>
      </c>
      <c r="S9" s="785">
        <v>1209.604566</v>
      </c>
      <c r="T9" s="784"/>
      <c r="U9" s="636"/>
      <c r="V9" s="637"/>
      <c r="X9" s="451">
        <v>3</v>
      </c>
      <c r="Y9" s="451" t="s">
        <v>232</v>
      </c>
      <c r="Z9" s="451" t="s">
        <v>236</v>
      </c>
      <c r="AA9" s="452">
        <v>0.115</v>
      </c>
      <c r="AB9" s="452">
        <v>0.13400000000000001</v>
      </c>
      <c r="AC9" s="452">
        <v>1.4999999999999999E-2</v>
      </c>
      <c r="AD9" s="559">
        <f t="shared" si="1"/>
        <v>1.115</v>
      </c>
      <c r="AE9" s="559">
        <f t="shared" si="0"/>
        <v>1.1339999999999999</v>
      </c>
      <c r="AF9" s="559">
        <f t="shared" si="0"/>
        <v>1.0149999999999999</v>
      </c>
    </row>
    <row r="10" spans="1:33">
      <c r="B10" s="942"/>
      <c r="C10" s="171" t="s">
        <v>24</v>
      </c>
      <c r="D10" s="636">
        <v>356</v>
      </c>
      <c r="E10" s="160" t="s">
        <v>107</v>
      </c>
      <c r="F10" s="636">
        <v>356</v>
      </c>
      <c r="G10" s="228" t="s">
        <v>107</v>
      </c>
      <c r="H10" s="786">
        <v>208.68491</v>
      </c>
      <c r="I10" s="787" t="s">
        <v>235</v>
      </c>
      <c r="J10" s="788">
        <v>208.68491</v>
      </c>
      <c r="K10" s="231" t="s">
        <v>107</v>
      </c>
      <c r="L10" s="636">
        <v>316.447</v>
      </c>
      <c r="M10" s="230" t="s">
        <v>235</v>
      </c>
      <c r="N10" s="636">
        <v>316.447</v>
      </c>
      <c r="O10" s="231" t="s">
        <v>235</v>
      </c>
      <c r="P10" s="148">
        <f t="shared" si="2"/>
        <v>352.83840500000002</v>
      </c>
      <c r="Q10" s="784">
        <v>6.4706E-2</v>
      </c>
      <c r="R10" s="636">
        <v>1504.317</v>
      </c>
      <c r="S10" s="785">
        <v>1504.317</v>
      </c>
      <c r="T10" s="784"/>
      <c r="U10" s="636"/>
      <c r="V10" s="637"/>
      <c r="X10" s="451">
        <v>4</v>
      </c>
      <c r="Y10" s="451" t="s">
        <v>232</v>
      </c>
      <c r="Z10" s="451" t="s">
        <v>237</v>
      </c>
      <c r="AA10" s="452">
        <v>0.115</v>
      </c>
      <c r="AB10" s="452">
        <v>0.13400000000000001</v>
      </c>
      <c r="AC10" s="452">
        <v>1.4999999999999999E-2</v>
      </c>
      <c r="AD10" s="559">
        <f t="shared" si="1"/>
        <v>1.115</v>
      </c>
      <c r="AE10" s="559">
        <f t="shared" si="0"/>
        <v>1.1339999999999999</v>
      </c>
      <c r="AF10" s="559">
        <f t="shared" si="0"/>
        <v>1.0149999999999999</v>
      </c>
    </row>
    <row r="11" spans="1:33">
      <c r="B11" s="942"/>
      <c r="C11" s="171" t="s">
        <v>25</v>
      </c>
      <c r="D11" s="636">
        <v>487</v>
      </c>
      <c r="E11" s="160" t="s">
        <v>107</v>
      </c>
      <c r="F11" s="636">
        <v>487</v>
      </c>
      <c r="G11" s="228" t="s">
        <v>107</v>
      </c>
      <c r="H11" s="786">
        <v>114.67108</v>
      </c>
      <c r="I11" s="787" t="s">
        <v>235</v>
      </c>
      <c r="J11" s="788">
        <v>114.67108</v>
      </c>
      <c r="K11" s="231" t="s">
        <v>107</v>
      </c>
      <c r="L11" s="636">
        <v>77.280990000000003</v>
      </c>
      <c r="M11" s="230" t="s">
        <v>107</v>
      </c>
      <c r="N11" s="636">
        <v>77.280990000000003</v>
      </c>
      <c r="O11" s="231" t="s">
        <v>235</v>
      </c>
      <c r="P11" s="148">
        <f t="shared" si="2"/>
        <v>86.168303850000001</v>
      </c>
      <c r="Q11" s="789">
        <v>1.3200000000000001E-4</v>
      </c>
      <c r="R11" s="636">
        <v>580.07002499999999</v>
      </c>
      <c r="S11" s="785">
        <v>580.07002499999999</v>
      </c>
      <c r="T11" s="789"/>
      <c r="U11" s="636"/>
      <c r="V11" s="637"/>
      <c r="W11" s="172"/>
      <c r="X11" s="451">
        <v>5</v>
      </c>
      <c r="Y11" s="451" t="s">
        <v>238</v>
      </c>
      <c r="Z11" s="451" t="s">
        <v>31</v>
      </c>
      <c r="AA11" s="452">
        <v>0.115</v>
      </c>
      <c r="AB11" s="452">
        <v>0.13400000000000001</v>
      </c>
      <c r="AC11" s="452">
        <v>1.4999999999999999E-2</v>
      </c>
      <c r="AD11" s="559">
        <f t="shared" si="1"/>
        <v>1.115</v>
      </c>
      <c r="AE11" s="559">
        <f t="shared" si="0"/>
        <v>1.1339999999999999</v>
      </c>
      <c r="AF11" s="559">
        <f t="shared" si="0"/>
        <v>1.0149999999999999</v>
      </c>
    </row>
    <row r="12" spans="1:33">
      <c r="B12" s="942"/>
      <c r="C12" s="79" t="s">
        <v>26</v>
      </c>
      <c r="D12" s="636">
        <v>800</v>
      </c>
      <c r="E12" s="148" t="s">
        <v>107</v>
      </c>
      <c r="F12" s="636">
        <v>800</v>
      </c>
      <c r="G12" s="228" t="s">
        <v>107</v>
      </c>
      <c r="H12" s="786">
        <v>0</v>
      </c>
      <c r="I12" s="787" t="s">
        <v>235</v>
      </c>
      <c r="J12" s="788">
        <v>0</v>
      </c>
      <c r="K12" s="231" t="s">
        <v>107</v>
      </c>
      <c r="L12" s="636">
        <v>216.35939200000001</v>
      </c>
      <c r="M12" s="230" t="s">
        <v>235</v>
      </c>
      <c r="N12" s="636">
        <v>216.35939200000001</v>
      </c>
      <c r="O12" s="231" t="s">
        <v>235</v>
      </c>
      <c r="P12" s="148">
        <f t="shared" si="2"/>
        <v>241.24072208000001</v>
      </c>
      <c r="Q12" s="784">
        <v>1.965312E-2</v>
      </c>
      <c r="R12" s="636">
        <v>2669.7108800000001</v>
      </c>
      <c r="S12" s="785">
        <v>2669.7108800000001</v>
      </c>
      <c r="T12" s="784"/>
      <c r="U12" s="636"/>
      <c r="V12" s="637"/>
      <c r="X12" s="451">
        <v>6</v>
      </c>
      <c r="Y12" s="451" t="s">
        <v>239</v>
      </c>
      <c r="Z12" s="451" t="s">
        <v>40</v>
      </c>
      <c r="AA12" s="452">
        <v>0.115</v>
      </c>
      <c r="AB12" s="452">
        <v>0.13400000000000001</v>
      </c>
      <c r="AC12" s="452">
        <v>1.4999999999999999E-2</v>
      </c>
      <c r="AD12" s="559">
        <f t="shared" si="1"/>
        <v>1.115</v>
      </c>
      <c r="AE12" s="559">
        <f t="shared" si="0"/>
        <v>1.1339999999999999</v>
      </c>
      <c r="AF12" s="559">
        <f t="shared" si="0"/>
        <v>1.0149999999999999</v>
      </c>
    </row>
    <row r="13" spans="1:33" ht="15.75" thickBot="1">
      <c r="B13" s="942"/>
      <c r="C13" s="414" t="s">
        <v>27</v>
      </c>
      <c r="D13" s="638">
        <v>8419</v>
      </c>
      <c r="E13" s="149" t="s">
        <v>107</v>
      </c>
      <c r="F13" s="638">
        <v>8419</v>
      </c>
      <c r="G13" s="232" t="s">
        <v>107</v>
      </c>
      <c r="H13" s="790">
        <v>57.084489999999903</v>
      </c>
      <c r="I13" s="791" t="s">
        <v>235</v>
      </c>
      <c r="J13" s="778">
        <v>57.084489999999903</v>
      </c>
      <c r="K13" s="233" t="s">
        <v>107</v>
      </c>
      <c r="L13" s="638">
        <v>1308.3019973</v>
      </c>
      <c r="M13" s="611" t="s">
        <v>235</v>
      </c>
      <c r="N13" s="638">
        <v>1308.3019973</v>
      </c>
      <c r="O13" s="612" t="s">
        <v>235</v>
      </c>
      <c r="P13" s="149">
        <f t="shared" si="2"/>
        <v>1458.7567269895001</v>
      </c>
      <c r="Q13" s="792">
        <v>9.8065673000000006E-2</v>
      </c>
      <c r="R13" s="638">
        <v>19624.5299595</v>
      </c>
      <c r="S13" s="793">
        <v>19624.5299595</v>
      </c>
      <c r="T13" s="792"/>
      <c r="U13" s="638"/>
      <c r="V13" s="639"/>
      <c r="X13" s="451">
        <v>7</v>
      </c>
      <c r="Y13" s="451" t="s">
        <v>99</v>
      </c>
      <c r="Z13" s="451" t="s">
        <v>240</v>
      </c>
      <c r="AA13" s="452">
        <v>9.0999999999999998E-2</v>
      </c>
      <c r="AB13" s="452">
        <v>0.113</v>
      </c>
      <c r="AC13" s="452">
        <v>1.4999999999999999E-2</v>
      </c>
      <c r="AD13" s="559">
        <f t="shared" si="1"/>
        <v>1.091</v>
      </c>
      <c r="AE13" s="559">
        <f t="shared" si="0"/>
        <v>1.113</v>
      </c>
      <c r="AF13" s="559">
        <f t="shared" si="0"/>
        <v>1.0149999999999999</v>
      </c>
    </row>
    <row r="14" spans="1:33" ht="15.75" thickBot="1">
      <c r="B14" s="78"/>
      <c r="C14" s="594" t="s">
        <v>241</v>
      </c>
      <c r="D14" s="234">
        <f>SUM(D8:D13)</f>
        <v>12165</v>
      </c>
      <c r="E14" s="235">
        <v>81204</v>
      </c>
      <c r="F14" s="235">
        <f>SUM(F8:F13)</f>
        <v>12165</v>
      </c>
      <c r="G14" s="236">
        <f>F14/E14</f>
        <v>0.14980789123688487</v>
      </c>
      <c r="H14" s="237">
        <f>SUM(H8:H13)</f>
        <v>3037.6856199999997</v>
      </c>
      <c r="I14" s="238">
        <v>5012.5690000000004</v>
      </c>
      <c r="J14" s="238">
        <f>SUM(J8:J13)</f>
        <v>3037.6856199999997</v>
      </c>
      <c r="K14" s="239">
        <f>J14/I14</f>
        <v>0.60601372669383691</v>
      </c>
      <c r="L14" s="234">
        <f>SUM(L8:L13)</f>
        <v>2288.2467416999998</v>
      </c>
      <c r="M14" s="235">
        <v>11595.373</v>
      </c>
      <c r="N14" s="235">
        <f>SUM(N8:N13)</f>
        <v>2288.2467416999998</v>
      </c>
      <c r="O14" s="607">
        <f t="shared" ref="O14:O19" si="3">N14/M14</f>
        <v>0.19734136553433856</v>
      </c>
      <c r="P14" s="235">
        <f>L14*1.115</f>
        <v>2551.3951169954998</v>
      </c>
      <c r="Q14" s="608">
        <f>SUM(Q8:Q13)</f>
        <v>0.36604617100000003</v>
      </c>
      <c r="R14" s="609">
        <f>SUM(R8:R13)</f>
        <v>29774.494650599998</v>
      </c>
      <c r="S14" s="610">
        <f>SUM(S8:S13)</f>
        <v>29774.494650599998</v>
      </c>
      <c r="T14" s="608"/>
      <c r="U14" s="609"/>
      <c r="V14" s="623"/>
      <c r="W14" s="172"/>
      <c r="X14" s="451">
        <v>8</v>
      </c>
      <c r="Y14" s="451" t="s">
        <v>99</v>
      </c>
      <c r="Z14" s="451" t="s">
        <v>242</v>
      </c>
      <c r="AA14" s="452">
        <v>6.9000000000000006E-2</v>
      </c>
      <c r="AB14" s="452">
        <v>8.6999999999999994E-2</v>
      </c>
      <c r="AC14" s="452">
        <v>1.4999999999999999E-2</v>
      </c>
      <c r="AD14" s="559">
        <f t="shared" si="1"/>
        <v>1.069</v>
      </c>
      <c r="AE14" s="559">
        <f t="shared" si="0"/>
        <v>1.087</v>
      </c>
      <c r="AF14" s="559">
        <f t="shared" si="0"/>
        <v>1.0149999999999999</v>
      </c>
    </row>
    <row r="15" spans="1:33" ht="30" customHeight="1">
      <c r="B15" s="941" t="s">
        <v>28</v>
      </c>
      <c r="C15" s="45" t="s">
        <v>243</v>
      </c>
      <c r="D15" s="763">
        <v>40</v>
      </c>
      <c r="E15" s="130">
        <v>281</v>
      </c>
      <c r="F15" s="130">
        <v>40</v>
      </c>
      <c r="G15" s="131">
        <f>F15/E15</f>
        <v>0.14234875444839859</v>
      </c>
      <c r="H15" s="794">
        <v>313.34451000000001</v>
      </c>
      <c r="I15" s="187">
        <f>2943.265-719.5</f>
        <v>2223.7649999999999</v>
      </c>
      <c r="J15" s="187">
        <v>313.34451000000001</v>
      </c>
      <c r="K15" s="190">
        <f>J15/I15</f>
        <v>0.14090720467315568</v>
      </c>
      <c r="L15" s="795">
        <v>27.798665100000001</v>
      </c>
      <c r="M15" s="240">
        <v>626.90599999999995</v>
      </c>
      <c r="N15" s="130">
        <v>27.798665100000001</v>
      </c>
      <c r="O15" s="588">
        <f t="shared" si="3"/>
        <v>4.4342636854648072E-2</v>
      </c>
      <c r="P15" s="143">
        <f>L15*$AD$10</f>
        <v>30.995511586500001</v>
      </c>
      <c r="Q15" s="796">
        <v>1.0341672E-2</v>
      </c>
      <c r="R15" s="130">
        <v>511.10309169999999</v>
      </c>
      <c r="S15" s="797">
        <v>511.10309169999999</v>
      </c>
      <c r="T15" s="796"/>
      <c r="U15" s="130"/>
      <c r="V15" s="640"/>
      <c r="X15" s="451">
        <v>9</v>
      </c>
      <c r="Y15" s="451" t="s">
        <v>99</v>
      </c>
      <c r="Z15" s="451" t="s">
        <v>244</v>
      </c>
      <c r="AA15" s="452">
        <v>9.9000000000000005E-2</v>
      </c>
      <c r="AB15" s="452">
        <v>0.121</v>
      </c>
      <c r="AC15" s="452">
        <v>1.4999999999999999E-2</v>
      </c>
      <c r="AD15" s="559">
        <f t="shared" si="1"/>
        <v>1.099</v>
      </c>
      <c r="AE15" s="559">
        <f t="shared" si="0"/>
        <v>1.121</v>
      </c>
      <c r="AF15" s="559">
        <f t="shared" si="0"/>
        <v>1.0149999999999999</v>
      </c>
    </row>
    <row r="16" spans="1:33" ht="17.45" customHeight="1">
      <c r="B16" s="942"/>
      <c r="C16" s="164" t="s">
        <v>245</v>
      </c>
      <c r="D16" s="764">
        <v>2410</v>
      </c>
      <c r="E16" s="589">
        <v>6500</v>
      </c>
      <c r="F16" s="589">
        <v>2410</v>
      </c>
      <c r="G16" s="241">
        <f>F16/E16</f>
        <v>0.3707692307692308</v>
      </c>
      <c r="H16" s="798">
        <v>607.29862000000003</v>
      </c>
      <c r="I16" s="242">
        <v>3681.07</v>
      </c>
      <c r="J16" s="242">
        <v>607.29862000000003</v>
      </c>
      <c r="K16" s="191">
        <f>J16/I16</f>
        <v>0.16497882952511089</v>
      </c>
      <c r="L16" s="799">
        <v>1414.883572</v>
      </c>
      <c r="M16" s="132">
        <v>6835.1059999999998</v>
      </c>
      <c r="N16" s="132">
        <v>1414.883572</v>
      </c>
      <c r="O16" s="192">
        <f t="shared" si="3"/>
        <v>0.20700243302737367</v>
      </c>
      <c r="P16" s="163">
        <f>L16*$AD$9</f>
        <v>1577.59518278</v>
      </c>
      <c r="Q16" s="800">
        <v>9.2298694000000001E-2</v>
      </c>
      <c r="R16" s="132">
        <v>18325.96240280287</v>
      </c>
      <c r="S16" s="801">
        <v>18325.96240280287</v>
      </c>
      <c r="T16" s="800"/>
      <c r="U16" s="132"/>
      <c r="V16" s="641"/>
      <c r="X16" s="451">
        <v>10</v>
      </c>
      <c r="Y16" s="451" t="s">
        <v>99</v>
      </c>
      <c r="Z16" s="451" t="s">
        <v>246</v>
      </c>
      <c r="AA16" s="452">
        <v>7.6999999999999999E-2</v>
      </c>
      <c r="AB16" s="452">
        <v>9.1999999999999998E-2</v>
      </c>
      <c r="AC16" s="452">
        <v>1.4999999999999999E-2</v>
      </c>
      <c r="AD16" s="559">
        <f t="shared" si="1"/>
        <v>1.077</v>
      </c>
      <c r="AE16" s="559">
        <f t="shared" si="0"/>
        <v>1.0920000000000001</v>
      </c>
      <c r="AF16" s="559">
        <f t="shared" si="0"/>
        <v>1.0149999999999999</v>
      </c>
    </row>
    <row r="17" spans="2:37" ht="26.1" customHeight="1" thickBot="1">
      <c r="B17" s="942"/>
      <c r="C17" s="44" t="s">
        <v>31</v>
      </c>
      <c r="D17" s="765">
        <v>0</v>
      </c>
      <c r="E17" s="243">
        <v>450</v>
      </c>
      <c r="F17" s="243">
        <v>0</v>
      </c>
      <c r="G17" s="244">
        <f>F17/E17</f>
        <v>0</v>
      </c>
      <c r="H17" s="802">
        <v>268.88329999999996</v>
      </c>
      <c r="I17" s="245">
        <v>4214.8360000000002</v>
      </c>
      <c r="J17" s="245">
        <v>268.88329999999996</v>
      </c>
      <c r="K17" s="246">
        <f>J17/I17</f>
        <v>6.3794486902930492E-2</v>
      </c>
      <c r="L17" s="803">
        <v>0</v>
      </c>
      <c r="M17" s="247">
        <v>824.19899999999996</v>
      </c>
      <c r="N17" s="247">
        <v>0</v>
      </c>
      <c r="O17" s="590">
        <f t="shared" si="3"/>
        <v>0</v>
      </c>
      <c r="P17" s="247">
        <f>L17*$AD$11</f>
        <v>0</v>
      </c>
      <c r="Q17" s="804">
        <v>0</v>
      </c>
      <c r="R17" s="247">
        <v>0</v>
      </c>
      <c r="S17" s="805">
        <v>0</v>
      </c>
      <c r="T17" s="804"/>
      <c r="U17" s="247"/>
      <c r="V17" s="642"/>
      <c r="X17" s="451">
        <v>11</v>
      </c>
      <c r="Y17" s="451" t="s">
        <v>247</v>
      </c>
      <c r="Z17" s="451" t="s">
        <v>248</v>
      </c>
      <c r="AA17" s="452">
        <v>0.115</v>
      </c>
      <c r="AB17" s="452">
        <v>0.13400000000000001</v>
      </c>
      <c r="AC17" s="452">
        <v>1.4999999999999999E-2</v>
      </c>
      <c r="AD17" s="559">
        <f t="shared" si="1"/>
        <v>1.115</v>
      </c>
      <c r="AE17" s="559">
        <f t="shared" si="0"/>
        <v>1.1339999999999999</v>
      </c>
      <c r="AF17" s="559">
        <f t="shared" si="0"/>
        <v>1.0149999999999999</v>
      </c>
    </row>
    <row r="18" spans="2:37" ht="50.1" customHeight="1" thickBot="1">
      <c r="B18" s="31" t="s">
        <v>32</v>
      </c>
      <c r="C18" s="621" t="s">
        <v>33</v>
      </c>
      <c r="D18" s="766">
        <v>234834</v>
      </c>
      <c r="E18" s="767">
        <v>155000</v>
      </c>
      <c r="F18" s="768">
        <v>234834</v>
      </c>
      <c r="G18" s="739">
        <f>F18/E18</f>
        <v>1.5150580645161291</v>
      </c>
      <c r="H18" s="806">
        <v>175.34370999999899</v>
      </c>
      <c r="I18" s="807">
        <f>501.658+719.5</f>
        <v>1221.1579999999999</v>
      </c>
      <c r="J18" s="808">
        <v>175.34370999999899</v>
      </c>
      <c r="K18" s="246">
        <f>J18/I18</f>
        <v>0.143588061495727</v>
      </c>
      <c r="L18" s="809">
        <v>1056.5380010200001</v>
      </c>
      <c r="M18" s="810">
        <v>7998.3180000000002</v>
      </c>
      <c r="N18" s="811">
        <v>1056.5380010200001</v>
      </c>
      <c r="O18" s="590">
        <f t="shared" si="3"/>
        <v>0.13209502310610807</v>
      </c>
      <c r="P18" s="812">
        <v>1178.0398711373002</v>
      </c>
      <c r="Q18" s="813">
        <v>1.0017040766249998</v>
      </c>
      <c r="R18" s="814">
        <v>1178.0398711373002</v>
      </c>
      <c r="S18" s="814">
        <v>1178.0398711373002</v>
      </c>
      <c r="T18" s="987"/>
      <c r="U18" s="699"/>
      <c r="V18" s="700"/>
    </row>
    <row r="19" spans="2:37" ht="15.75" thickBot="1">
      <c r="B19" s="48" t="s">
        <v>249</v>
      </c>
      <c r="C19" s="51"/>
      <c r="D19" s="113">
        <f>SUM(D14:D18)</f>
        <v>249449</v>
      </c>
      <c r="E19" s="114">
        <f>SUM(E14:E18)</f>
        <v>243435</v>
      </c>
      <c r="F19" s="114">
        <f>SUM(F14:F18)</f>
        <v>249449</v>
      </c>
      <c r="G19" s="95">
        <f t="shared" ref="G19" si="4">F19/E19</f>
        <v>1.0247047466469488</v>
      </c>
      <c r="H19" s="151">
        <f>SUM(H14:H18)</f>
        <v>4402.5557599999993</v>
      </c>
      <c r="I19" s="152">
        <f>SUM(I14:I18)</f>
        <v>16353.398000000001</v>
      </c>
      <c r="J19" s="152">
        <f>SUM(J14:J18)</f>
        <v>4402.5557599999993</v>
      </c>
      <c r="K19" s="248">
        <f t="shared" ref="K19" si="5">J19/I19</f>
        <v>0.2692135151361203</v>
      </c>
      <c r="L19" s="113">
        <f>SUM(L14:L18)</f>
        <v>4787.4669798199993</v>
      </c>
      <c r="M19" s="114">
        <f>SUM(M14:M18)</f>
        <v>27879.901999999998</v>
      </c>
      <c r="N19" s="145">
        <f>SUM(N14:N18)</f>
        <v>4787.4669798199993</v>
      </c>
      <c r="O19" s="106">
        <f t="shared" si="3"/>
        <v>0.17171749670497405</v>
      </c>
      <c r="P19" s="145">
        <f>SUM(P14:P18)</f>
        <v>5338.0256824992994</v>
      </c>
      <c r="Q19" s="177">
        <f t="shared" ref="Q19" si="6">SUM(Q14:Q18)</f>
        <v>1.4703906136249998</v>
      </c>
      <c r="R19" s="114">
        <f>SUM(R14:R18)</f>
        <v>49789.600016240161</v>
      </c>
      <c r="S19" s="166">
        <f>SUM(S14:S18)</f>
        <v>49789.600016240161</v>
      </c>
      <c r="T19" s="177"/>
      <c r="U19" s="114"/>
      <c r="V19" s="624"/>
    </row>
    <row r="20" spans="2:37" ht="15.75" thickBot="1">
      <c r="B20" s="16"/>
      <c r="C20" s="53"/>
      <c r="D20" s="115"/>
      <c r="E20" s="116"/>
      <c r="F20" s="116"/>
      <c r="G20" s="96"/>
      <c r="H20" s="85"/>
      <c r="I20" s="86"/>
      <c r="J20" s="86"/>
      <c r="K20" s="249"/>
      <c r="L20" s="115"/>
      <c r="M20" s="116"/>
      <c r="N20" s="146"/>
      <c r="O20" s="107"/>
      <c r="P20" s="146"/>
      <c r="Q20" s="178"/>
      <c r="R20" s="116"/>
      <c r="S20" s="250"/>
      <c r="T20" s="178"/>
      <c r="U20" s="116"/>
      <c r="V20" s="625"/>
    </row>
    <row r="21" spans="2:37" ht="15.75" thickBot="1">
      <c r="B21" s="52" t="s">
        <v>250</v>
      </c>
      <c r="C21" s="50" t="s">
        <v>9</v>
      </c>
      <c r="D21" s="117"/>
      <c r="E21" s="118"/>
      <c r="F21" s="118"/>
      <c r="G21" s="97"/>
      <c r="H21" s="88"/>
      <c r="I21" s="89"/>
      <c r="J21" s="89"/>
      <c r="K21" s="251"/>
      <c r="L21" s="117"/>
      <c r="M21" s="118"/>
      <c r="N21" s="147"/>
      <c r="O21" s="108"/>
      <c r="P21" s="147"/>
      <c r="Q21" s="179"/>
      <c r="R21" s="118"/>
      <c r="S21" s="252"/>
      <c r="T21" s="179"/>
      <c r="U21" s="118"/>
      <c r="V21" s="626"/>
    </row>
    <row r="22" spans="2:37" ht="15.75" thickBot="1">
      <c r="B22" s="46" t="s">
        <v>147</v>
      </c>
      <c r="C22" s="80" t="s">
        <v>251</v>
      </c>
      <c r="D22" s="769">
        <v>15</v>
      </c>
      <c r="E22" s="165">
        <v>180</v>
      </c>
      <c r="F22" s="165">
        <v>15</v>
      </c>
      <c r="G22" s="253">
        <f t="shared" ref="G22:G26" si="7">F22/E22</f>
        <v>8.3333333333333329E-2</v>
      </c>
      <c r="H22" s="815">
        <v>1338.45233999999</v>
      </c>
      <c r="I22" s="254">
        <f>12369.521-3721.031</f>
        <v>8648.4900000000016</v>
      </c>
      <c r="J22" s="254">
        <v>1338.45233999999</v>
      </c>
      <c r="K22" s="255">
        <f t="shared" ref="K22:K26" si="8">J22/I22</f>
        <v>0.15476139071675979</v>
      </c>
      <c r="L22" s="769">
        <v>674</v>
      </c>
      <c r="M22" s="165">
        <v>8363.3648321124692</v>
      </c>
      <c r="N22" s="816">
        <v>674</v>
      </c>
      <c r="O22" s="585">
        <f>N22/M22</f>
        <v>8.0589572920706481E-2</v>
      </c>
      <c r="P22" s="161">
        <f>L22*AD15</f>
        <v>740.726</v>
      </c>
      <c r="Q22" s="817">
        <v>0.11799999999999999</v>
      </c>
      <c r="R22" s="161">
        <v>10003</v>
      </c>
      <c r="S22" s="818">
        <v>10003</v>
      </c>
      <c r="T22" s="817"/>
      <c r="U22" s="161"/>
      <c r="V22" s="643"/>
    </row>
    <row r="23" spans="2:37" ht="17.25">
      <c r="B23" s="938" t="s">
        <v>36</v>
      </c>
      <c r="C23" s="76" t="s">
        <v>252</v>
      </c>
      <c r="D23" s="770">
        <v>67</v>
      </c>
      <c r="E23" s="189">
        <v>126542</v>
      </c>
      <c r="F23" s="771">
        <v>67</v>
      </c>
      <c r="G23" s="256">
        <f t="shared" si="7"/>
        <v>5.2946847686933987E-4</v>
      </c>
      <c r="H23" s="819">
        <v>1000.34588</v>
      </c>
      <c r="I23" s="182">
        <f>4062.402+3721.031</f>
        <v>7783.433</v>
      </c>
      <c r="J23" s="182">
        <v>1000.34588</v>
      </c>
      <c r="K23" s="256">
        <f t="shared" si="8"/>
        <v>0.12852245018361436</v>
      </c>
      <c r="L23" s="770">
        <v>3493.1683558</v>
      </c>
      <c r="M23" s="189">
        <v>27604.255000000001</v>
      </c>
      <c r="N23" s="771">
        <v>3493.1683558</v>
      </c>
      <c r="O23" s="586">
        <f>N23/M23</f>
        <v>0.12654456190902452</v>
      </c>
      <c r="P23" s="160">
        <f>L23*AD13</f>
        <v>3811.0466761777998</v>
      </c>
      <c r="Q23" s="820">
        <v>0.45032</v>
      </c>
      <c r="R23" s="644">
        <v>51028.0239</v>
      </c>
      <c r="S23" s="821">
        <v>51028.0239</v>
      </c>
      <c r="T23" s="820"/>
      <c r="U23" s="644"/>
      <c r="V23" s="645"/>
    </row>
    <row r="24" spans="2:37">
      <c r="B24" s="939"/>
      <c r="C24" s="73" t="s">
        <v>38</v>
      </c>
      <c r="D24" s="772">
        <v>1</v>
      </c>
      <c r="E24" s="132">
        <v>25</v>
      </c>
      <c r="F24" s="132">
        <v>1</v>
      </c>
      <c r="G24" s="257">
        <f t="shared" si="7"/>
        <v>0.04</v>
      </c>
      <c r="H24" s="822">
        <v>193.23909</v>
      </c>
      <c r="I24" s="188">
        <v>279.64699999999999</v>
      </c>
      <c r="J24" s="188">
        <v>193.23909</v>
      </c>
      <c r="K24" s="257">
        <f t="shared" si="8"/>
        <v>0.69101077429759661</v>
      </c>
      <c r="L24" s="772">
        <v>319</v>
      </c>
      <c r="M24" s="132">
        <v>800.52599999999995</v>
      </c>
      <c r="N24" s="823">
        <v>319</v>
      </c>
      <c r="O24" s="587">
        <f t="shared" ref="O24:O25" si="9">N24/M24</f>
        <v>0.39848799414385044</v>
      </c>
      <c r="P24" s="148">
        <f>L24*AD16</f>
        <v>343.56299999999999</v>
      </c>
      <c r="Q24" s="824">
        <v>0</v>
      </c>
      <c r="R24" s="148">
        <v>1595</v>
      </c>
      <c r="S24" s="825">
        <v>1595</v>
      </c>
      <c r="T24" s="824"/>
      <c r="U24" s="148"/>
      <c r="V24" s="646"/>
    </row>
    <row r="25" spans="2:37" ht="15.75" thickBot="1">
      <c r="B25" s="940"/>
      <c r="C25" s="77" t="s">
        <v>39</v>
      </c>
      <c r="D25" s="773">
        <v>0</v>
      </c>
      <c r="E25" s="258">
        <v>1</v>
      </c>
      <c r="F25" s="258">
        <v>0</v>
      </c>
      <c r="G25" s="259" t="s">
        <v>107</v>
      </c>
      <c r="H25" s="826">
        <v>259.05601000000001</v>
      </c>
      <c r="I25" s="260">
        <v>1146.1969999999999</v>
      </c>
      <c r="J25" s="260">
        <v>259.05601000000001</v>
      </c>
      <c r="K25" s="259">
        <f t="shared" si="8"/>
        <v>0.22601351251137461</v>
      </c>
      <c r="L25" s="773">
        <v>0</v>
      </c>
      <c r="M25" s="258">
        <v>607.87900000000002</v>
      </c>
      <c r="N25" s="149">
        <v>0</v>
      </c>
      <c r="O25" s="109">
        <f t="shared" si="9"/>
        <v>0</v>
      </c>
      <c r="P25" s="149">
        <f>L25*AD14</f>
        <v>0</v>
      </c>
      <c r="Q25" s="827">
        <v>0</v>
      </c>
      <c r="R25" s="149">
        <v>0</v>
      </c>
      <c r="S25" s="828">
        <v>0</v>
      </c>
      <c r="T25" s="827"/>
      <c r="U25" s="149"/>
      <c r="V25" s="647"/>
    </row>
    <row r="26" spans="2:37" s="9" customFormat="1" ht="15.75" thickBot="1">
      <c r="B26" s="137" t="s">
        <v>253</v>
      </c>
      <c r="C26" s="137"/>
      <c r="D26" s="141">
        <f>SUM(D22:D25)</f>
        <v>83</v>
      </c>
      <c r="E26" s="141">
        <f>SUM(E22:E25)</f>
        <v>126748</v>
      </c>
      <c r="F26" s="141">
        <f>SUM(F22:F25)</f>
        <v>83</v>
      </c>
      <c r="G26" s="98">
        <f t="shared" si="7"/>
        <v>6.548426799633919E-4</v>
      </c>
      <c r="H26" s="84">
        <f>SUM(H22:H25)</f>
        <v>2791.0933199999899</v>
      </c>
      <c r="I26" s="84">
        <f>SUM(I22:I25)</f>
        <v>17857.767000000003</v>
      </c>
      <c r="J26" s="84">
        <f>SUM(J22:J25)</f>
        <v>2791.0933199999899</v>
      </c>
      <c r="K26" s="248">
        <f t="shared" si="8"/>
        <v>0.15629576307048856</v>
      </c>
      <c r="L26" s="119">
        <f>SUM(L22:L25)</f>
        <v>4486.1683558000004</v>
      </c>
      <c r="M26" s="114">
        <f>SUM(M22:M25)</f>
        <v>37376.024832112467</v>
      </c>
      <c r="N26" s="114">
        <f>SUM(N22:N25)</f>
        <v>4486.1683558000004</v>
      </c>
      <c r="O26" s="106">
        <f>N26/M26</f>
        <v>0.12002796915806857</v>
      </c>
      <c r="P26" s="150">
        <f>SUM(P22:P25)</f>
        <v>4895.3356761777995</v>
      </c>
      <c r="Q26" s="177">
        <f>SUM(Q22:Q25)</f>
        <v>0.56831999999999994</v>
      </c>
      <c r="R26" s="114">
        <f>SUM(R22:R25)</f>
        <v>62626.0239</v>
      </c>
      <c r="S26" s="166">
        <f>SUM(S22:S25)</f>
        <v>62626.0239</v>
      </c>
      <c r="T26" s="177"/>
      <c r="U26" s="114"/>
      <c r="V26" s="624"/>
      <c r="W26"/>
      <c r="X26"/>
      <c r="Y26"/>
      <c r="Z26"/>
      <c r="AA26"/>
      <c r="AB26"/>
      <c r="AC26"/>
      <c r="AD26"/>
      <c r="AE26"/>
      <c r="AF26"/>
      <c r="AG26"/>
      <c r="AH26"/>
      <c r="AI26"/>
      <c r="AJ26"/>
      <c r="AK26"/>
    </row>
    <row r="27" spans="2:37" ht="15.75" thickBot="1">
      <c r="B27" s="54"/>
      <c r="C27" s="53"/>
      <c r="D27" s="120"/>
      <c r="E27" s="121"/>
      <c r="F27" s="121"/>
      <c r="G27" s="99"/>
      <c r="H27" s="90"/>
      <c r="I27" s="91"/>
      <c r="J27" s="91"/>
      <c r="K27" s="261"/>
      <c r="L27" s="120"/>
      <c r="M27" s="121"/>
      <c r="N27" s="121"/>
      <c r="O27" s="110"/>
      <c r="P27" s="121"/>
      <c r="Q27" s="180"/>
      <c r="R27" s="121"/>
      <c r="S27" s="299"/>
      <c r="T27" s="180"/>
      <c r="U27" s="121"/>
      <c r="V27" s="627"/>
    </row>
    <row r="28" spans="2:37">
      <c r="B28" s="936" t="s">
        <v>254</v>
      </c>
      <c r="C28" s="45" t="s">
        <v>29</v>
      </c>
      <c r="D28" s="774">
        <v>0</v>
      </c>
      <c r="E28" s="130" t="s">
        <v>107</v>
      </c>
      <c r="F28" s="130">
        <v>0</v>
      </c>
      <c r="G28" s="131" t="s">
        <v>107</v>
      </c>
      <c r="H28" s="829">
        <v>0</v>
      </c>
      <c r="I28" s="830" t="s">
        <v>107</v>
      </c>
      <c r="J28" s="831">
        <v>0</v>
      </c>
      <c r="K28" s="262" t="s">
        <v>107</v>
      </c>
      <c r="L28" s="763">
        <v>0</v>
      </c>
      <c r="M28" s="130" t="s">
        <v>107</v>
      </c>
      <c r="N28" s="763">
        <v>0</v>
      </c>
      <c r="O28" s="104" t="s">
        <v>107</v>
      </c>
      <c r="P28" s="143">
        <f>L28*$AD$12</f>
        <v>0</v>
      </c>
      <c r="Q28" s="175">
        <v>0</v>
      </c>
      <c r="R28" s="143">
        <v>0</v>
      </c>
      <c r="S28" s="143">
        <v>0</v>
      </c>
      <c r="T28" s="175"/>
      <c r="U28" s="143"/>
      <c r="V28" s="630"/>
    </row>
    <row r="29" spans="2:37">
      <c r="B29" s="937"/>
      <c r="C29" s="44" t="s">
        <v>35</v>
      </c>
      <c r="D29" s="775">
        <v>0</v>
      </c>
      <c r="E29" s="132" t="s">
        <v>107</v>
      </c>
      <c r="F29" s="132">
        <v>0</v>
      </c>
      <c r="G29" s="133" t="s">
        <v>107</v>
      </c>
      <c r="H29" s="832">
        <v>0</v>
      </c>
      <c r="I29" s="833" t="s">
        <v>107</v>
      </c>
      <c r="J29" s="833">
        <v>0</v>
      </c>
      <c r="K29" s="257" t="s">
        <v>107</v>
      </c>
      <c r="L29" s="772">
        <v>0</v>
      </c>
      <c r="M29" s="132" t="s">
        <v>107</v>
      </c>
      <c r="N29" s="144">
        <v>0</v>
      </c>
      <c r="O29" s="105" t="s">
        <v>107</v>
      </c>
      <c r="P29" s="144">
        <f t="shared" ref="P29:P31" si="10">L29*$AD$12</f>
        <v>0</v>
      </c>
      <c r="Q29" s="834">
        <v>0</v>
      </c>
      <c r="R29" s="144">
        <v>0</v>
      </c>
      <c r="S29" s="835">
        <v>0</v>
      </c>
      <c r="T29" s="834"/>
      <c r="U29" s="144"/>
      <c r="V29" s="648"/>
    </row>
    <row r="30" spans="2:37">
      <c r="B30" s="937"/>
      <c r="C30" s="44" t="s">
        <v>255</v>
      </c>
      <c r="D30" s="775">
        <v>0</v>
      </c>
      <c r="E30" s="132" t="s">
        <v>107</v>
      </c>
      <c r="F30" s="132">
        <v>0</v>
      </c>
      <c r="G30" s="133" t="s">
        <v>107</v>
      </c>
      <c r="H30" s="832">
        <v>0</v>
      </c>
      <c r="I30" s="833" t="s">
        <v>107</v>
      </c>
      <c r="J30" s="833">
        <v>0</v>
      </c>
      <c r="K30" s="257" t="s">
        <v>107</v>
      </c>
      <c r="L30" s="772">
        <v>0</v>
      </c>
      <c r="M30" s="132" t="s">
        <v>107</v>
      </c>
      <c r="N30" s="144">
        <v>0</v>
      </c>
      <c r="O30" s="105" t="s">
        <v>107</v>
      </c>
      <c r="P30" s="144">
        <f t="shared" si="10"/>
        <v>0</v>
      </c>
      <c r="Q30" s="834">
        <v>0</v>
      </c>
      <c r="R30" s="144">
        <v>0</v>
      </c>
      <c r="S30" s="835">
        <v>0</v>
      </c>
      <c r="T30" s="834"/>
      <c r="U30" s="144"/>
      <c r="V30" s="648"/>
    </row>
    <row r="31" spans="2:37">
      <c r="B31" s="937"/>
      <c r="C31" s="44" t="s">
        <v>39</v>
      </c>
      <c r="D31" s="775">
        <v>0</v>
      </c>
      <c r="E31" s="132" t="s">
        <v>107</v>
      </c>
      <c r="F31" s="132">
        <v>0</v>
      </c>
      <c r="G31" s="133" t="s">
        <v>107</v>
      </c>
      <c r="H31" s="832">
        <v>0</v>
      </c>
      <c r="I31" s="833" t="s">
        <v>107</v>
      </c>
      <c r="J31" s="833">
        <v>0</v>
      </c>
      <c r="K31" s="257" t="s">
        <v>107</v>
      </c>
      <c r="L31" s="772">
        <v>0</v>
      </c>
      <c r="M31" s="132" t="s">
        <v>107</v>
      </c>
      <c r="N31" s="144">
        <v>0</v>
      </c>
      <c r="O31" s="105" t="s">
        <v>107</v>
      </c>
      <c r="P31" s="144">
        <f t="shared" si="10"/>
        <v>0</v>
      </c>
      <c r="Q31" s="834">
        <v>0</v>
      </c>
      <c r="R31" s="144">
        <v>0</v>
      </c>
      <c r="S31" s="835">
        <v>0</v>
      </c>
      <c r="T31" s="834"/>
      <c r="U31" s="144"/>
      <c r="V31" s="648"/>
    </row>
    <row r="32" spans="2:37" ht="15.75" thickBot="1">
      <c r="B32" s="134"/>
      <c r="C32" s="158" t="s">
        <v>256</v>
      </c>
      <c r="D32" s="153">
        <f>SUM(D28:D31)</f>
        <v>0</v>
      </c>
      <c r="E32" s="154">
        <v>2088</v>
      </c>
      <c r="F32" s="154">
        <f>SUM(F28:F31)</f>
        <v>0</v>
      </c>
      <c r="G32" s="155">
        <f t="shared" ref="G32" si="11">F32/E32</f>
        <v>0</v>
      </c>
      <c r="H32" s="593">
        <v>0</v>
      </c>
      <c r="I32" s="183">
        <v>1364.884</v>
      </c>
      <c r="J32" s="183">
        <v>0</v>
      </c>
      <c r="K32" s="156">
        <f>J32/I32</f>
        <v>0</v>
      </c>
      <c r="L32" s="153">
        <f>SUM(L28:L31)</f>
        <v>0</v>
      </c>
      <c r="M32" s="154">
        <v>2298.1190000000001</v>
      </c>
      <c r="N32" s="157">
        <f>SUM(N28:N31)</f>
        <v>0</v>
      </c>
      <c r="O32" s="552">
        <f>N32/M32</f>
        <v>0</v>
      </c>
      <c r="P32" s="159">
        <f t="shared" ref="P32:R32" si="12">SUM(P28:P31)</f>
        <v>0</v>
      </c>
      <c r="Q32" s="176">
        <f t="shared" si="12"/>
        <v>0</v>
      </c>
      <c r="R32" s="159">
        <f t="shared" si="12"/>
        <v>0</v>
      </c>
      <c r="S32" s="300">
        <f t="shared" ref="S32" si="13">SUM(S28:S31)</f>
        <v>0</v>
      </c>
      <c r="T32" s="176"/>
      <c r="U32" s="159"/>
      <c r="V32" s="628"/>
    </row>
    <row r="33" spans="2:33" ht="15.75" thickBot="1">
      <c r="B33" s="54"/>
      <c r="C33" s="53"/>
      <c r="D33" s="120"/>
      <c r="E33" s="121"/>
      <c r="F33" s="121"/>
      <c r="G33" s="99"/>
      <c r="H33" s="185"/>
      <c r="I33" s="186"/>
      <c r="J33" s="186"/>
      <c r="K33" s="263"/>
      <c r="L33" s="120"/>
      <c r="M33" s="121"/>
      <c r="N33" s="121"/>
      <c r="O33" s="110"/>
      <c r="P33" s="121"/>
      <c r="Q33" s="180"/>
      <c r="R33" s="121"/>
      <c r="S33" s="299"/>
      <c r="T33" s="180"/>
      <c r="U33" s="121"/>
      <c r="V33" s="627"/>
    </row>
    <row r="34" spans="2:33" ht="15.75" hidden="1" thickBot="1">
      <c r="B34" s="137" t="s">
        <v>170</v>
      </c>
      <c r="C34" s="137"/>
      <c r="D34" s="138"/>
      <c r="E34" s="139"/>
      <c r="F34" s="139"/>
      <c r="G34" s="140"/>
      <c r="H34" s="184"/>
      <c r="I34" s="84"/>
      <c r="J34" s="84"/>
      <c r="K34" s="95"/>
      <c r="L34" s="138"/>
      <c r="M34" s="139"/>
      <c r="N34" s="264"/>
      <c r="O34" s="265"/>
      <c r="P34" s="264"/>
      <c r="Q34" s="266"/>
      <c r="R34" s="139"/>
      <c r="S34" s="267"/>
      <c r="T34" s="266"/>
      <c r="U34" s="139"/>
      <c r="V34" s="629"/>
    </row>
    <row r="35" spans="2:33" hidden="1">
      <c r="B35" s="135" t="s">
        <v>257</v>
      </c>
      <c r="C35" s="136"/>
      <c r="D35" s="201" t="s">
        <v>107</v>
      </c>
      <c r="E35" s="202" t="s">
        <v>107</v>
      </c>
      <c r="F35" s="202" t="s">
        <v>107</v>
      </c>
      <c r="G35" s="268" t="s">
        <v>107</v>
      </c>
      <c r="H35" s="269" t="s">
        <v>107</v>
      </c>
      <c r="I35" s="270" t="s">
        <v>107</v>
      </c>
      <c r="J35" s="270" t="s">
        <v>107</v>
      </c>
      <c r="K35" s="306" t="s">
        <v>107</v>
      </c>
      <c r="L35" s="201" t="s">
        <v>107</v>
      </c>
      <c r="M35" s="202" t="s">
        <v>107</v>
      </c>
      <c r="N35" s="143" t="s">
        <v>107</v>
      </c>
      <c r="O35" s="104" t="s">
        <v>107</v>
      </c>
      <c r="P35" s="143" t="s">
        <v>107</v>
      </c>
      <c r="Q35" s="175" t="s">
        <v>107</v>
      </c>
      <c r="R35" s="143" t="s">
        <v>107</v>
      </c>
      <c r="S35" s="298" t="s">
        <v>107</v>
      </c>
      <c r="T35" s="175"/>
      <c r="U35" s="143"/>
      <c r="V35" s="630"/>
    </row>
    <row r="36" spans="2:33" ht="15.75" hidden="1" thickBot="1">
      <c r="B36" s="8" t="s">
        <v>258</v>
      </c>
      <c r="C36" s="15"/>
      <c r="D36" s="123">
        <f>SUM(D35)</f>
        <v>0</v>
      </c>
      <c r="E36" s="124">
        <f>SUM(E35)</f>
        <v>0</v>
      </c>
      <c r="F36" s="124">
        <f>SUM(F35)</f>
        <v>0</v>
      </c>
      <c r="G36" s="100" t="s">
        <v>107</v>
      </c>
      <c r="H36" s="92">
        <f>SUM(H35)</f>
        <v>0</v>
      </c>
      <c r="I36" s="93">
        <f>SUM(I35)</f>
        <v>0</v>
      </c>
      <c r="J36" s="93">
        <f>SUM(J35)</f>
        <v>0</v>
      </c>
      <c r="K36" s="196" t="s">
        <v>107</v>
      </c>
      <c r="L36" s="123">
        <f>SUM(L35)</f>
        <v>0</v>
      </c>
      <c r="M36" s="124">
        <f>SUM(M35)</f>
        <v>0</v>
      </c>
      <c r="N36" s="124">
        <f>SUM(N35)</f>
        <v>0</v>
      </c>
      <c r="O36" s="111" t="s">
        <v>107</v>
      </c>
      <c r="P36" s="124">
        <f t="shared" ref="P36:V36" si="14">SUM(P35)</f>
        <v>0</v>
      </c>
      <c r="Q36" s="181">
        <f t="shared" si="14"/>
        <v>0</v>
      </c>
      <c r="R36" s="124">
        <f t="shared" si="14"/>
        <v>0</v>
      </c>
      <c r="S36" s="301">
        <f t="shared" si="14"/>
        <v>0</v>
      </c>
      <c r="T36" s="181"/>
      <c r="U36" s="124"/>
      <c r="V36" s="631"/>
    </row>
    <row r="37" spans="2:33" ht="15.75" hidden="1" thickBot="1">
      <c r="B37" s="16"/>
      <c r="C37" s="17"/>
      <c r="D37" s="125"/>
      <c r="E37" s="116"/>
      <c r="F37" s="116"/>
      <c r="G37" s="101"/>
      <c r="H37" s="94"/>
      <c r="I37" s="87"/>
      <c r="J37" s="87"/>
      <c r="K37" s="307"/>
      <c r="L37" s="197"/>
      <c r="M37" s="198"/>
      <c r="N37" s="198"/>
      <c r="O37" s="199"/>
      <c r="P37" s="198"/>
      <c r="Q37" s="200"/>
      <c r="R37" s="198"/>
      <c r="S37" s="313"/>
      <c r="T37" s="200"/>
      <c r="U37" s="198"/>
      <c r="V37" s="632"/>
    </row>
    <row r="38" spans="2:33" ht="15.75" thickBot="1">
      <c r="B38" s="18" t="s">
        <v>259</v>
      </c>
      <c r="C38" s="19"/>
      <c r="D38" s="126"/>
      <c r="E38" s="127"/>
      <c r="F38" s="127"/>
      <c r="G38" s="169"/>
      <c r="H38" s="836">
        <v>745.11892</v>
      </c>
      <c r="I38" s="170">
        <v>950</v>
      </c>
      <c r="J38" s="836">
        <v>745.11892</v>
      </c>
      <c r="K38" s="308">
        <f>J38/I38</f>
        <v>0.78433570526315788</v>
      </c>
      <c r="L38" s="126"/>
      <c r="M38" s="127"/>
      <c r="N38" s="127"/>
      <c r="O38" s="112"/>
      <c r="P38" s="127"/>
      <c r="Q38" s="127"/>
      <c r="R38" s="127"/>
      <c r="S38" s="302"/>
      <c r="T38" s="127"/>
      <c r="U38" s="127"/>
      <c r="V38" s="633"/>
      <c r="W38" s="9"/>
      <c r="X38" s="9"/>
      <c r="Y38" s="9"/>
      <c r="Z38" s="9"/>
      <c r="AA38" s="9"/>
      <c r="AB38" s="9"/>
      <c r="AC38" s="9"/>
      <c r="AD38" s="9"/>
      <c r="AE38" s="9"/>
      <c r="AF38" s="9"/>
      <c r="AG38" s="9"/>
    </row>
    <row r="39" spans="2:33" ht="15.75" thickBot="1">
      <c r="B39" s="8" t="s">
        <v>169</v>
      </c>
      <c r="C39" s="15"/>
      <c r="D39" s="123">
        <f>SUM(D36,D32,D26,D19)</f>
        <v>249532</v>
      </c>
      <c r="E39" s="124">
        <f>SUM(E36,E32,E26,E19)</f>
        <v>372271</v>
      </c>
      <c r="F39" s="124">
        <f>SUM(F36,F32,F26,F19)</f>
        <v>249532</v>
      </c>
      <c r="G39" s="100">
        <f>F39/E39</f>
        <v>0.67029663873898315</v>
      </c>
      <c r="H39" s="416">
        <f>SUM(H36,H32,H26,H19,H38)</f>
        <v>7938.7679999999891</v>
      </c>
      <c r="I39" s="413">
        <f>SUM(I36,I32,I26,I19,I38)</f>
        <v>36526.049000000006</v>
      </c>
      <c r="J39" s="413">
        <f>SUM(J36,J32,J26,J19,J38)</f>
        <v>7938.7679999999891</v>
      </c>
      <c r="K39" s="308">
        <f>J39/I39</f>
        <v>0.21734538000537609</v>
      </c>
      <c r="L39" s="123">
        <f>SUM(L36,L32,L26,L19)</f>
        <v>9273.6353356199998</v>
      </c>
      <c r="M39" s="124">
        <f>SUM(M36,M32,M26,M19)</f>
        <v>67554.045832112461</v>
      </c>
      <c r="N39" s="124">
        <f>SUM(N36,N32,N26,N19)</f>
        <v>9273.6353356199998</v>
      </c>
      <c r="O39" s="111">
        <f>N39/M39</f>
        <v>0.13727727512675028</v>
      </c>
      <c r="P39" s="124">
        <f>SUM(P36,P32,P26,P19)</f>
        <v>10233.361358677099</v>
      </c>
      <c r="Q39" s="181">
        <f>SUM(Q36,Q32,Q26,Q19)</f>
        <v>2.0387106136249997</v>
      </c>
      <c r="R39" s="124">
        <f>SUM(R36,R32,R26,R19)</f>
        <v>112415.62391624016</v>
      </c>
      <c r="S39" s="613">
        <f>SUM(S36,S32,S26,S19)</f>
        <v>112415.62391624016</v>
      </c>
      <c r="T39" s="617"/>
      <c r="U39" s="139"/>
      <c r="V39" s="629"/>
    </row>
    <row r="40" spans="2:33" ht="81.599999999999994" customHeight="1">
      <c r="B40" s="925" t="s">
        <v>396</v>
      </c>
      <c r="C40" s="903"/>
      <c r="D40" s="903"/>
      <c r="E40" s="903"/>
      <c r="F40" s="903"/>
      <c r="G40" s="903"/>
      <c r="H40" s="903"/>
      <c r="I40" s="903"/>
      <c r="J40" s="903"/>
      <c r="K40" s="903"/>
      <c r="L40" s="903"/>
      <c r="M40" s="903"/>
      <c r="N40" s="903"/>
      <c r="O40" s="903"/>
      <c r="P40" s="903"/>
      <c r="Q40" s="903"/>
      <c r="R40" s="903"/>
      <c r="S40" s="903"/>
      <c r="T40" s="9"/>
      <c r="U40" s="9"/>
      <c r="V40" s="9"/>
      <c r="W40" s="9"/>
      <c r="X40" s="9"/>
      <c r="Y40" s="9"/>
      <c r="Z40" s="9"/>
      <c r="AA40" s="9"/>
      <c r="AB40" s="9"/>
      <c r="AC40" s="9"/>
      <c r="AD40" s="9"/>
      <c r="AE40" s="9"/>
      <c r="AF40" s="9"/>
      <c r="AG40" s="9"/>
    </row>
    <row r="41" spans="2:33" ht="15" customHeight="1">
      <c r="B41" s="891"/>
      <c r="C41" s="9"/>
      <c r="D41" s="9"/>
      <c r="E41" s="9"/>
      <c r="F41" s="9"/>
      <c r="G41" s="9"/>
      <c r="H41" s="9"/>
      <c r="I41" s="9"/>
      <c r="J41" s="9"/>
      <c r="K41" s="9"/>
      <c r="L41" s="9"/>
      <c r="M41" s="9"/>
      <c r="N41" s="9"/>
      <c r="O41" s="9"/>
      <c r="P41" s="9"/>
      <c r="Q41" s="9"/>
      <c r="R41" s="9"/>
    </row>
    <row r="42" spans="2:33" ht="15" customHeight="1">
      <c r="B42" s="892"/>
      <c r="N42"/>
      <c r="O42"/>
      <c r="P42"/>
      <c r="Q42"/>
      <c r="S42"/>
    </row>
    <row r="43" spans="2:33" ht="15" customHeight="1">
      <c r="B43" s="890"/>
    </row>
    <row r="44" spans="2:33">
      <c r="B44" s="892"/>
    </row>
    <row r="45" spans="2:33">
      <c r="M45" s="344"/>
    </row>
    <row r="46" spans="2:33">
      <c r="F46" s="344"/>
      <c r="G46" s="344"/>
    </row>
    <row r="48" spans="2:33">
      <c r="K48" s="162"/>
    </row>
    <row r="49" spans="11:17">
      <c r="K49" s="162"/>
    </row>
    <row r="50" spans="11:17">
      <c r="K50" s="162"/>
    </row>
    <row r="51" spans="11:17">
      <c r="K51" s="162"/>
    </row>
    <row r="52" spans="11:17">
      <c r="K52" s="162"/>
    </row>
    <row r="53" spans="11:17">
      <c r="K53" s="162"/>
    </row>
    <row r="54" spans="11:17">
      <c r="K54" s="162"/>
    </row>
    <row r="55" spans="11:17">
      <c r="K55" s="162"/>
    </row>
    <row r="56" spans="11:17">
      <c r="K56" s="162"/>
    </row>
    <row r="57" spans="11:17">
      <c r="K57" s="162"/>
    </row>
    <row r="58" spans="11:17">
      <c r="K58" s="162"/>
    </row>
    <row r="59" spans="11:17">
      <c r="K59" s="162"/>
    </row>
    <row r="61" spans="11:17">
      <c r="K61" s="162"/>
      <c r="M61" s="2"/>
      <c r="P61" s="3"/>
      <c r="Q61"/>
    </row>
    <row r="62" spans="11:17">
      <c r="K62" s="162"/>
      <c r="M62" s="2"/>
      <c r="P62" s="3"/>
      <c r="Q62"/>
    </row>
    <row r="63" spans="11:17">
      <c r="K63" s="162"/>
      <c r="M63" s="2"/>
      <c r="P63" s="3"/>
      <c r="Q63"/>
    </row>
    <row r="64" spans="11:17">
      <c r="K64" s="162"/>
      <c r="M64" s="2"/>
      <c r="P64" s="3"/>
      <c r="Q64"/>
    </row>
    <row r="65" spans="11:17">
      <c r="K65" s="162"/>
      <c r="M65" s="2"/>
      <c r="P65" s="3"/>
      <c r="Q65"/>
    </row>
    <row r="66" spans="11:17">
      <c r="K66" s="162"/>
      <c r="M66" s="2"/>
      <c r="P66" s="3"/>
      <c r="Q66"/>
    </row>
    <row r="67" spans="11:17">
      <c r="K67" s="162"/>
      <c r="M67" s="2"/>
      <c r="P67" s="3"/>
      <c r="Q67"/>
    </row>
    <row r="68" spans="11:17">
      <c r="K68" s="162"/>
      <c r="M68" s="2"/>
      <c r="P68" s="3"/>
      <c r="Q68"/>
    </row>
    <row r="69" spans="11:17">
      <c r="K69" s="162"/>
      <c r="M69" s="2"/>
      <c r="P69" s="3"/>
      <c r="Q69"/>
    </row>
    <row r="70" spans="11:17">
      <c r="K70" s="162"/>
      <c r="M70" s="2"/>
      <c r="P70" s="3"/>
      <c r="Q70"/>
    </row>
    <row r="71" spans="11:17">
      <c r="K71" s="162"/>
      <c r="M71" s="2"/>
      <c r="P71" s="3"/>
      <c r="Q71"/>
    </row>
    <row r="72" spans="11:17">
      <c r="K72" s="162"/>
      <c r="M72" s="2"/>
      <c r="P72" s="3"/>
      <c r="Q72"/>
    </row>
  </sheetData>
  <mergeCells count="9">
    <mergeCell ref="B40:S40"/>
    <mergeCell ref="T4:V4"/>
    <mergeCell ref="L4:S4"/>
    <mergeCell ref="D4:G4"/>
    <mergeCell ref="H4:K4"/>
    <mergeCell ref="B28:B31"/>
    <mergeCell ref="B23:B25"/>
    <mergeCell ref="B8:B13"/>
    <mergeCell ref="B15:B17"/>
  </mergeCells>
  <pageMargins left="0.25" right="0.25" top="0.75" bottom="0.75" header="0.3" footer="0.3"/>
  <pageSetup scale="52" fitToHeight="0" orientation="landscape" r:id="rId1"/>
  <headerFooter>
    <oddHeader xml:space="preserve">&amp;CACE Q2 of Program Year 2022 Portfolio Summary Reporting Table </oddHeader>
    <oddFooter>&amp;C&amp;N&amp;R&amp;D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AD34"/>
  <sheetViews>
    <sheetView zoomScaleNormal="100" zoomScaleSheetLayoutView="100" workbookViewId="0">
      <selection activeCell="I39" sqref="I39"/>
    </sheetView>
  </sheetViews>
  <sheetFormatPr defaultColWidth="9.28515625" defaultRowHeight="15"/>
  <cols>
    <col min="1" max="1" width="4.28515625" customWidth="1"/>
    <col min="2" max="2" width="22.140625" customWidth="1"/>
    <col min="3" max="3" width="39.42578125" customWidth="1"/>
    <col min="4" max="8" width="13.5703125" customWidth="1"/>
    <col min="9" max="9" width="14.5703125" customWidth="1"/>
    <col min="10" max="10" width="16.28515625" customWidth="1"/>
    <col min="11" max="11" width="16.28515625" style="4" customWidth="1"/>
    <col min="12" max="13" width="16.28515625" customWidth="1"/>
    <col min="14" max="15" width="15.7109375" style="2" customWidth="1"/>
    <col min="16" max="16" width="13.5703125" customWidth="1"/>
    <col min="20" max="20" width="9.28515625" customWidth="1"/>
  </cols>
  <sheetData>
    <row r="1" spans="1:15" ht="23.25">
      <c r="A1" s="1" t="s">
        <v>183</v>
      </c>
      <c r="K1" s="33"/>
      <c r="N1" s="32"/>
      <c r="O1" s="32"/>
    </row>
    <row r="2" spans="1:15">
      <c r="K2" s="33"/>
      <c r="N2" s="32"/>
      <c r="O2" s="32"/>
    </row>
    <row r="3" spans="1:15" ht="19.5" thickBot="1">
      <c r="A3" s="5"/>
      <c r="B3" s="5" t="s">
        <v>184</v>
      </c>
      <c r="C3" s="5"/>
      <c r="D3" s="5"/>
      <c r="E3" s="5"/>
      <c r="F3" s="5"/>
      <c r="G3" s="5"/>
      <c r="H3" s="5"/>
      <c r="K3" s="43"/>
      <c r="N3" s="32"/>
      <c r="O3" s="32"/>
    </row>
    <row r="4" spans="1:15" ht="43.15" customHeight="1" thickBot="1">
      <c r="A4" t="s">
        <v>146</v>
      </c>
      <c r="B4" s="561"/>
      <c r="C4" s="562"/>
      <c r="D4" s="951" t="s">
        <v>185</v>
      </c>
      <c r="E4" s="951"/>
      <c r="F4" s="952" t="s">
        <v>260</v>
      </c>
      <c r="G4" s="953"/>
      <c r="H4" s="954" t="s">
        <v>187</v>
      </c>
      <c r="I4" s="955"/>
      <c r="K4" s="33"/>
      <c r="M4" s="40" t="s">
        <v>185</v>
      </c>
      <c r="N4" s="40"/>
      <c r="O4" s="40"/>
    </row>
    <row r="5" spans="1:15" ht="21" customHeight="1">
      <c r="B5" s="563"/>
      <c r="C5" s="332"/>
      <c r="D5" s="331" t="s">
        <v>189</v>
      </c>
      <c r="E5" s="60" t="s">
        <v>190</v>
      </c>
      <c r="F5" s="64" t="s">
        <v>191</v>
      </c>
      <c r="G5" s="65" t="s">
        <v>261</v>
      </c>
      <c r="H5" s="57" t="s">
        <v>193</v>
      </c>
      <c r="I5" s="564" t="s">
        <v>194</v>
      </c>
      <c r="K5" s="33"/>
      <c r="N5" s="32"/>
      <c r="O5" s="32"/>
    </row>
    <row r="6" spans="1:15" ht="52.5" customHeight="1">
      <c r="B6" s="565"/>
      <c r="C6" s="333"/>
      <c r="D6" s="946" t="s">
        <v>10</v>
      </c>
      <c r="E6" s="946"/>
      <c r="F6" s="947" t="s">
        <v>262</v>
      </c>
      <c r="G6" s="948"/>
      <c r="H6" s="949" t="s">
        <v>263</v>
      </c>
      <c r="I6" s="950"/>
      <c r="K6" s="33"/>
      <c r="N6" s="32"/>
      <c r="O6" s="32"/>
    </row>
    <row r="7" spans="1:15" ht="30">
      <c r="B7" s="566" t="s">
        <v>230</v>
      </c>
      <c r="C7" s="436" t="s">
        <v>264</v>
      </c>
      <c r="D7" s="59" t="s">
        <v>238</v>
      </c>
      <c r="E7" s="72" t="s">
        <v>265</v>
      </c>
      <c r="F7" s="737" t="s">
        <v>238</v>
      </c>
      <c r="G7" s="738" t="s">
        <v>265</v>
      </c>
      <c r="H7" s="59" t="s">
        <v>238</v>
      </c>
      <c r="I7" s="567" t="s">
        <v>265</v>
      </c>
      <c r="J7" s="35"/>
      <c r="K7" s="36"/>
      <c r="L7" s="35"/>
      <c r="M7" s="35"/>
      <c r="N7" s="35"/>
      <c r="O7" s="35"/>
    </row>
    <row r="8" spans="1:15">
      <c r="B8" s="956" t="s">
        <v>21</v>
      </c>
      <c r="C8" s="437" t="s">
        <v>22</v>
      </c>
      <c r="D8" s="837">
        <v>11</v>
      </c>
      <c r="E8" s="838">
        <v>942</v>
      </c>
      <c r="F8" s="839">
        <v>4.2</v>
      </c>
      <c r="G8" s="839">
        <v>386.75</v>
      </c>
      <c r="H8" s="840">
        <v>6</v>
      </c>
      <c r="I8" s="841">
        <v>264</v>
      </c>
      <c r="J8" s="730"/>
      <c r="K8" s="37"/>
      <c r="L8" s="32"/>
      <c r="M8" s="32"/>
      <c r="N8" s="32"/>
      <c r="O8" s="32"/>
    </row>
    <row r="9" spans="1:15">
      <c r="B9" s="957"/>
      <c r="C9" s="438" t="s">
        <v>26</v>
      </c>
      <c r="D9" s="842">
        <v>0</v>
      </c>
      <c r="E9" s="843">
        <v>800</v>
      </c>
      <c r="F9" s="839">
        <v>0</v>
      </c>
      <c r="G9" s="844">
        <v>22.167999999999999</v>
      </c>
      <c r="H9" s="842">
        <v>0</v>
      </c>
      <c r="I9" s="845">
        <v>216</v>
      </c>
      <c r="J9" s="2"/>
      <c r="K9" s="37"/>
      <c r="L9" s="32"/>
      <c r="M9" s="32"/>
      <c r="N9" s="32"/>
      <c r="O9" s="32"/>
    </row>
    <row r="10" spans="1:15">
      <c r="B10" s="957"/>
      <c r="C10" s="294" t="s">
        <v>266</v>
      </c>
      <c r="D10" s="846">
        <v>52</v>
      </c>
      <c r="E10" s="843">
        <v>9873</v>
      </c>
      <c r="F10" s="847">
        <v>58.19</v>
      </c>
      <c r="G10" s="847">
        <v>97.665999999999997</v>
      </c>
      <c r="H10" s="848">
        <v>24</v>
      </c>
      <c r="I10" s="849">
        <v>1700</v>
      </c>
      <c r="J10" s="2"/>
      <c r="K10" s="37"/>
      <c r="L10" s="32"/>
      <c r="M10" s="32"/>
      <c r="N10" s="32"/>
      <c r="O10" s="32"/>
    </row>
    <row r="11" spans="1:15" ht="14.45" customHeight="1">
      <c r="B11" s="956" t="s">
        <v>28</v>
      </c>
      <c r="C11" s="437" t="s">
        <v>267</v>
      </c>
      <c r="D11" s="837">
        <v>9</v>
      </c>
      <c r="E11" s="838">
        <v>31</v>
      </c>
      <c r="F11" s="850">
        <v>43.537999999999997</v>
      </c>
      <c r="G11" s="851">
        <v>124.8</v>
      </c>
      <c r="H11" s="852">
        <v>8</v>
      </c>
      <c r="I11" s="853">
        <v>19.8</v>
      </c>
      <c r="J11" s="41"/>
      <c r="K11" s="41"/>
      <c r="L11" s="41"/>
      <c r="M11" s="32"/>
      <c r="N11" s="32"/>
      <c r="O11" s="32"/>
    </row>
    <row r="12" spans="1:15" ht="14.45" customHeight="1">
      <c r="B12" s="957"/>
      <c r="C12" s="439" t="s">
        <v>268</v>
      </c>
      <c r="D12" s="846">
        <v>1389</v>
      </c>
      <c r="E12" s="843">
        <v>1021</v>
      </c>
      <c r="F12" s="854">
        <v>388.67399999999998</v>
      </c>
      <c r="G12" s="855">
        <v>289.56900000000002</v>
      </c>
      <c r="H12" s="856">
        <v>746.26</v>
      </c>
      <c r="I12" s="857">
        <v>669.71</v>
      </c>
      <c r="J12" s="41"/>
      <c r="K12" s="41"/>
      <c r="L12" s="41"/>
      <c r="M12" s="32"/>
      <c r="N12" s="32"/>
      <c r="O12" s="32"/>
    </row>
    <row r="13" spans="1:15" ht="14.45" customHeight="1" thickBot="1">
      <c r="B13" s="957"/>
      <c r="C13" s="440" t="s">
        <v>31</v>
      </c>
      <c r="D13" s="858">
        <f>'Ap B - Qtr Electric Master'!F17</f>
        <v>0</v>
      </c>
      <c r="E13" s="859" t="s">
        <v>107</v>
      </c>
      <c r="F13" s="860">
        <v>240.23699999999999</v>
      </c>
      <c r="G13" s="861" t="s">
        <v>107</v>
      </c>
      <c r="H13" s="862">
        <f>'Ap B - Qtr Electric Master'!N17</f>
        <v>0</v>
      </c>
      <c r="I13" s="863" t="s">
        <v>107</v>
      </c>
      <c r="J13" s="41"/>
      <c r="K13" s="41"/>
      <c r="L13" s="41"/>
      <c r="M13" s="32"/>
      <c r="N13" s="32"/>
      <c r="O13" s="32"/>
    </row>
    <row r="14" spans="1:15" ht="45.75" thickBot="1">
      <c r="B14" s="568" t="s">
        <v>32</v>
      </c>
      <c r="C14" s="713" t="s">
        <v>269</v>
      </c>
      <c r="D14" s="837" t="s">
        <v>107</v>
      </c>
      <c r="E14" s="838">
        <f>'Ap B - Qtr Electric Master'!F18*' Ap C - Qtr Electric LMI'!D32</f>
        <v>73033.373999999996</v>
      </c>
      <c r="F14" s="864" t="s">
        <v>107</v>
      </c>
      <c r="G14" s="865">
        <f>453.521*D32</f>
        <v>141.04503099999999</v>
      </c>
      <c r="H14" s="852" t="s">
        <v>107</v>
      </c>
      <c r="I14" s="866">
        <f>'Ap B - Qtr Electric Master'!N18*D32</f>
        <v>328.58331831722006</v>
      </c>
      <c r="J14" s="2" t="s">
        <v>146</v>
      </c>
      <c r="L14" s="32"/>
      <c r="M14" s="32"/>
      <c r="N14" s="32"/>
      <c r="O14" s="32"/>
    </row>
    <row r="15" spans="1:15" ht="15.75" thickBot="1">
      <c r="B15" s="569" t="s">
        <v>249</v>
      </c>
      <c r="C15" s="441"/>
      <c r="D15" s="714">
        <f t="shared" ref="D15:I15" si="0">SUM(D8:D14)</f>
        <v>1461</v>
      </c>
      <c r="E15" s="715">
        <f t="shared" si="0"/>
        <v>85700.373999999996</v>
      </c>
      <c r="F15" s="716">
        <f t="shared" si="0"/>
        <v>734.83899999999994</v>
      </c>
      <c r="G15" s="717">
        <f t="shared" si="0"/>
        <v>1061.9980310000001</v>
      </c>
      <c r="H15" s="718">
        <f t="shared" si="0"/>
        <v>784.26</v>
      </c>
      <c r="I15" s="719">
        <f t="shared" si="0"/>
        <v>3198.0933183172201</v>
      </c>
      <c r="J15" s="721"/>
      <c r="K15" s="33"/>
      <c r="L15" s="35"/>
      <c r="M15" s="35"/>
      <c r="N15" s="35"/>
      <c r="O15" s="35"/>
    </row>
    <row r="16" spans="1:15" ht="15.75" thickBot="1">
      <c r="B16" s="571"/>
      <c r="C16" s="442"/>
      <c r="D16" s="49"/>
      <c r="E16" s="62"/>
      <c r="F16" s="710"/>
      <c r="G16" s="711"/>
      <c r="H16" s="16"/>
      <c r="I16" s="572"/>
      <c r="J16" s="38"/>
      <c r="K16" s="38"/>
      <c r="L16" s="38"/>
      <c r="M16" s="38"/>
      <c r="N16" s="38"/>
      <c r="O16" s="38"/>
    </row>
    <row r="17" spans="2:30">
      <c r="B17" s="944" t="s">
        <v>40</v>
      </c>
      <c r="C17" s="67" t="s">
        <v>29</v>
      </c>
      <c r="D17" s="852">
        <v>0</v>
      </c>
      <c r="E17" s="867">
        <v>0</v>
      </c>
      <c r="F17" s="868">
        <v>0</v>
      </c>
      <c r="G17" s="869">
        <v>0</v>
      </c>
      <c r="H17" s="852">
        <v>0</v>
      </c>
      <c r="I17" s="853">
        <v>0</v>
      </c>
      <c r="J17" s="4"/>
      <c r="L17" s="4"/>
      <c r="M17" s="32"/>
      <c r="N17" s="38"/>
      <c r="O17" s="38"/>
    </row>
    <row r="18" spans="2:30" ht="17.25">
      <c r="B18" s="945"/>
      <c r="C18" s="517" t="s">
        <v>270</v>
      </c>
      <c r="D18" s="862">
        <v>0</v>
      </c>
      <c r="E18" s="870">
        <v>0</v>
      </c>
      <c r="F18" s="871">
        <v>0</v>
      </c>
      <c r="G18" s="872">
        <v>0</v>
      </c>
      <c r="H18" s="862">
        <v>0</v>
      </c>
      <c r="I18" s="863">
        <v>0</v>
      </c>
      <c r="J18" s="4"/>
      <c r="L18" s="4"/>
      <c r="M18" s="32"/>
      <c r="N18" s="38"/>
      <c r="O18" s="38"/>
    </row>
    <row r="19" spans="2:30">
      <c r="B19" s="569" t="s">
        <v>271</v>
      </c>
      <c r="C19" s="441"/>
      <c r="D19" s="326">
        <f>SUM(D17:D18)</f>
        <v>0</v>
      </c>
      <c r="E19" s="435">
        <f t="shared" ref="E19" si="1">SUM(E17:E18)</f>
        <v>0</v>
      </c>
      <c r="F19" s="446">
        <f>SUM(F17:F18)</f>
        <v>0</v>
      </c>
      <c r="G19" s="447">
        <f>SUM(G17:G18)</f>
        <v>0</v>
      </c>
      <c r="H19" s="326">
        <f>SUM(H17:H18)</f>
        <v>0</v>
      </c>
      <c r="I19" s="570">
        <f>SUM(I17:I18)</f>
        <v>0</v>
      </c>
      <c r="J19" s="38"/>
      <c r="K19" s="38"/>
      <c r="L19" s="38"/>
      <c r="M19" s="38"/>
      <c r="N19" s="38"/>
      <c r="O19" s="38"/>
    </row>
    <row r="20" spans="2:30" ht="15.75" thickBot="1">
      <c r="B20" s="571"/>
      <c r="C20" s="443"/>
      <c r="D20" s="125"/>
      <c r="E20" s="318"/>
      <c r="F20" s="319"/>
      <c r="G20" s="320"/>
      <c r="H20" s="125"/>
      <c r="I20" s="573"/>
      <c r="J20" s="35"/>
      <c r="K20" s="36"/>
      <c r="L20" s="35"/>
      <c r="M20" s="35"/>
      <c r="N20" s="35"/>
      <c r="O20" s="35"/>
    </row>
    <row r="21" spans="2:30" ht="15.75" thickBot="1">
      <c r="B21" s="569" t="s">
        <v>170</v>
      </c>
      <c r="C21" s="441"/>
      <c r="D21" s="322"/>
      <c r="E21" s="323"/>
      <c r="F21" s="324"/>
      <c r="G21" s="325"/>
      <c r="H21" s="326"/>
      <c r="I21" s="570"/>
      <c r="J21" s="35"/>
      <c r="K21" s="36"/>
      <c r="L21" s="35"/>
      <c r="M21" s="35"/>
      <c r="N21" s="35"/>
      <c r="O21" s="35"/>
    </row>
    <row r="22" spans="2:30">
      <c r="B22" s="574" t="s">
        <v>272</v>
      </c>
      <c r="C22" s="444"/>
      <c r="D22" s="122" t="s">
        <v>107</v>
      </c>
      <c r="E22" s="327" t="s">
        <v>107</v>
      </c>
      <c r="F22" s="328" t="s">
        <v>107</v>
      </c>
      <c r="G22" s="329" t="s">
        <v>107</v>
      </c>
      <c r="H22" s="122" t="s">
        <v>107</v>
      </c>
      <c r="I22" s="575" t="s">
        <v>107</v>
      </c>
      <c r="J22" s="34"/>
      <c r="K22" s="33"/>
      <c r="L22" s="34"/>
      <c r="M22" s="34"/>
      <c r="N22" s="32"/>
      <c r="O22" s="32"/>
    </row>
    <row r="23" spans="2:30" ht="15.75" thickBot="1">
      <c r="B23" s="576" t="s">
        <v>258</v>
      </c>
      <c r="C23" s="445"/>
      <c r="D23" s="314">
        <f>SUM(D22)</f>
        <v>0</v>
      </c>
      <c r="E23" s="315">
        <f t="shared" ref="E23:G23" si="2">SUM(E22)</f>
        <v>0</v>
      </c>
      <c r="F23" s="316">
        <f t="shared" si="2"/>
        <v>0</v>
      </c>
      <c r="G23" s="317">
        <f t="shared" si="2"/>
        <v>0</v>
      </c>
      <c r="H23" s="314">
        <f>SUM(H22)</f>
        <v>0</v>
      </c>
      <c r="I23" s="577">
        <f>SUM(I22)</f>
        <v>0</v>
      </c>
      <c r="J23" s="39"/>
      <c r="K23" s="36"/>
      <c r="L23" s="39"/>
      <c r="M23" s="39"/>
      <c r="N23" s="35"/>
      <c r="O23" s="35"/>
    </row>
    <row r="24" spans="2:30">
      <c r="B24" s="571"/>
      <c r="C24" s="443"/>
      <c r="D24" s="125"/>
      <c r="E24" s="318"/>
      <c r="F24" s="319"/>
      <c r="G24" s="320"/>
      <c r="H24" s="125"/>
      <c r="I24" s="573"/>
      <c r="J24" s="38"/>
      <c r="K24" s="38"/>
      <c r="L24" s="38"/>
      <c r="M24" s="38"/>
      <c r="N24" s="38"/>
      <c r="O24" s="38"/>
    </row>
    <row r="25" spans="2:30" ht="15.75" thickBot="1">
      <c r="B25" s="576" t="s">
        <v>169</v>
      </c>
      <c r="C25" s="445"/>
      <c r="D25" s="314">
        <f t="shared" ref="D25:I25" si="3">SUM(D23,D19,D15)</f>
        <v>1461</v>
      </c>
      <c r="E25" s="315">
        <f t="shared" si="3"/>
        <v>85700.373999999996</v>
      </c>
      <c r="F25" s="316">
        <f t="shared" si="3"/>
        <v>734.83899999999994</v>
      </c>
      <c r="G25" s="317">
        <f t="shared" si="3"/>
        <v>1061.9980310000001</v>
      </c>
      <c r="H25" s="314">
        <f t="shared" si="3"/>
        <v>784.26</v>
      </c>
      <c r="I25" s="577">
        <f t="shared" si="3"/>
        <v>3198.0933183172201</v>
      </c>
      <c r="J25" s="38"/>
      <c r="K25" s="38"/>
      <c r="L25" s="38"/>
      <c r="M25" s="38"/>
      <c r="N25" s="38"/>
      <c r="O25" s="38"/>
    </row>
    <row r="26" spans="2:30" ht="15.75" thickBot="1">
      <c r="B26" s="578" t="s">
        <v>259</v>
      </c>
      <c r="C26" s="579"/>
      <c r="D26" s="580"/>
      <c r="E26" s="581"/>
      <c r="F26" s="582">
        <v>0</v>
      </c>
      <c r="G26" s="583">
        <v>0</v>
      </c>
      <c r="H26" s="580"/>
      <c r="I26" s="584"/>
      <c r="J26" s="38"/>
      <c r="K26" s="38"/>
      <c r="L26" s="38"/>
      <c r="M26" s="38"/>
      <c r="N26" s="38"/>
      <c r="O26" s="38"/>
    </row>
    <row r="27" spans="2:30" ht="48.6" customHeight="1">
      <c r="B27" s="943" t="s">
        <v>395</v>
      </c>
      <c r="C27" s="943"/>
      <c r="D27" s="943"/>
      <c r="E27" s="943"/>
      <c r="F27" s="943"/>
      <c r="G27" s="943"/>
      <c r="H27" s="943"/>
      <c r="I27" s="943"/>
      <c r="J27" s="35"/>
      <c r="K27" s="36"/>
      <c r="L27" s="35"/>
      <c r="M27" s="35"/>
      <c r="N27" s="35"/>
      <c r="O27" s="35"/>
    </row>
    <row r="28" spans="2:30">
      <c r="B28" s="448"/>
      <c r="J28" s="35"/>
      <c r="K28" s="36"/>
      <c r="L28" s="35"/>
      <c r="M28" s="35"/>
      <c r="N28" s="35"/>
      <c r="O28" s="35"/>
    </row>
    <row r="29" spans="2:30">
      <c r="B29" s="448"/>
      <c r="C29" s="9"/>
      <c r="D29" s="9"/>
      <c r="E29" s="9"/>
      <c r="F29" s="9"/>
      <c r="G29" s="9"/>
      <c r="H29" s="9"/>
      <c r="I29" s="9"/>
      <c r="J29" s="9"/>
      <c r="K29" s="10"/>
      <c r="L29" s="9"/>
      <c r="M29" s="9"/>
      <c r="N29" s="11"/>
      <c r="O29" s="11"/>
      <c r="P29" s="9"/>
      <c r="Q29" s="9"/>
      <c r="R29" s="9"/>
      <c r="S29" s="9"/>
      <c r="T29" s="9"/>
      <c r="U29" s="9"/>
      <c r="V29" s="9"/>
      <c r="W29" s="9"/>
      <c r="X29" s="9"/>
      <c r="Y29" s="9"/>
      <c r="Z29" s="9"/>
      <c r="AA29" s="9"/>
      <c r="AB29" s="9"/>
      <c r="AC29" s="9"/>
      <c r="AD29" s="9"/>
    </row>
    <row r="30" spans="2:30">
      <c r="B30" s="448"/>
      <c r="J30" s="344"/>
    </row>
    <row r="32" spans="2:30" hidden="1">
      <c r="C32" t="s">
        <v>273</v>
      </c>
      <c r="D32">
        <v>0.311</v>
      </c>
      <c r="H32" s="722"/>
    </row>
    <row r="34" spans="9:9">
      <c r="I34" s="339"/>
    </row>
  </sheetData>
  <mergeCells count="10">
    <mergeCell ref="D4:E4"/>
    <mergeCell ref="F4:G4"/>
    <mergeCell ref="H4:I4"/>
    <mergeCell ref="B8:B10"/>
    <mergeCell ref="B11:B13"/>
    <mergeCell ref="B27:I27"/>
    <mergeCell ref="B17:B18"/>
    <mergeCell ref="D6:E6"/>
    <mergeCell ref="F6:G6"/>
    <mergeCell ref="H6:I6"/>
  </mergeCells>
  <phoneticPr fontId="59" type="noConversion"/>
  <pageMargins left="0.25" right="0.25" top="0.75" bottom="0.75" header="0.3" footer="0.3"/>
  <pageSetup scale="90" fitToHeight="0" orientation="landscape" r:id="rId1"/>
  <headerFooter>
    <oddHeader>&amp;CACE Q2 of Program Year 2022 LMI Reporting Table</oddHeader>
    <oddFooter>&amp;C&amp;N&amp;R&amp;D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e1ce33e2-3f81-4877-9d56-6623efcc7adc">
      <Terms xmlns="http://schemas.microsoft.com/office/infopath/2007/PartnerControls"/>
    </lcf76f155ced4ddcb4097134ff3c332f>
    <SharedWithUsers xmlns="51c1dd67-44fb-4f36-953c-829e49f11df9">
      <UserInfo>
        <DisplayName>Zerbe, Christopher</DisplayName>
        <AccountId>163</AccountId>
        <AccountType/>
      </UserInfo>
      <UserInfo>
        <DisplayName>Kelly, Bryan</DisplayName>
        <AccountId>31</AccountId>
        <AccountType/>
      </UserInfo>
      <UserInfo>
        <DisplayName>Konrad, Nathanial</DisplayName>
        <AccountId>308</AccountId>
        <AccountType/>
      </UserInfo>
      <UserInfo>
        <DisplayName>Pollock, Lindsay</DisplayName>
        <AccountId>124</AccountId>
        <AccountType/>
      </UserInfo>
      <UserInfo>
        <DisplayName>Gazica, Rick</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6C8FC46E59EF4695C6B777F907D47D" ma:contentTypeVersion="11" ma:contentTypeDescription="Create a new document." ma:contentTypeScope="" ma:versionID="8396622b18fbc2740dc17d6a2d386306">
  <xsd:schema xmlns:xsd="http://www.w3.org/2001/XMLSchema" xmlns:xs="http://www.w3.org/2001/XMLSchema" xmlns:p="http://schemas.microsoft.com/office/2006/metadata/properties" xmlns:ns2="e1ce33e2-3f81-4877-9d56-6623efcc7adc" xmlns:ns3="fa6a9aea-fb0f-4ddd-aff8-712634b7d5fe" xmlns:ns4="51c1dd67-44fb-4f36-953c-829e49f11df9" targetNamespace="http://schemas.microsoft.com/office/2006/metadata/properties" ma:root="true" ma:fieldsID="5a0dcf1848257454b673e5031ae59483" ns2:_="" ns3:_="" ns4:_="">
    <xsd:import namespace="e1ce33e2-3f81-4877-9d56-6623efcc7adc"/>
    <xsd:import namespace="fa6a9aea-fb0f-4ddd-aff8-712634b7d5fe"/>
    <xsd:import namespace="51c1dd67-44fb-4f36-953c-829e49f11df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e33e2-3f81-4877-9d56-6623efcc7a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cfb9e04-5428-45cc-b622-52e1390a8f9c}" ma:internalName="TaxCatchAll" ma:showField="CatchAllData" ma:web="51c1dd67-44fb-4f36-953c-829e49f11d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c1dd67-44fb-4f36-953c-829e49f11df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2006/metadata/properties"/>
    <ds:schemaRef ds:uri="51c1dd67-44fb-4f36-953c-829e49f11df9"/>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fa6a9aea-fb0f-4ddd-aff8-712634b7d5fe"/>
    <ds:schemaRef ds:uri="e1ce33e2-3f81-4877-9d56-6623efcc7adc"/>
    <ds:schemaRef ds:uri="http://www.w3.org/XML/1998/namespace"/>
    <ds:schemaRef ds:uri="http://purl.org/dc/terms/"/>
  </ds:schemaRefs>
</ds:datastoreItem>
</file>

<file path=customXml/itemProps3.xml><?xml version="1.0" encoding="utf-8"?>
<ds:datastoreItem xmlns:ds="http://schemas.openxmlformats.org/officeDocument/2006/customXml" ds:itemID="{86D278D2-986B-4160-ABB9-C6C95FE26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ce33e2-3f81-4877-9d56-6623efcc7adc"/>
    <ds:schemaRef ds:uri="fa6a9aea-fb0f-4ddd-aff8-712634b7d5fe"/>
    <ds:schemaRef ds:uri="51c1dd67-44fb-4f36-953c-829e49f11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ACE</vt:lpstr>
      <vt:lpstr>Table 1</vt:lpstr>
      <vt:lpstr>Tables 2-6</vt:lpstr>
      <vt:lpstr>Table 7</vt:lpstr>
      <vt:lpstr>Table 8</vt:lpstr>
      <vt:lpstr>Table 9</vt:lpstr>
      <vt:lpstr>Ap A - Participant Def</vt:lpstr>
      <vt:lpstr>Ap B - Qtr Electric Master</vt:lpstr>
      <vt:lpstr> Ap C - Qtr Electric LMI</vt:lpstr>
      <vt:lpstr> Ap D - Qtr Electric Business</vt:lpstr>
      <vt:lpstr>Ap E - NJ CEA Benchmarks</vt:lpstr>
      <vt:lpstr>AP F - Secondary Metrics</vt:lpstr>
      <vt:lpstr>AP G - Transfer</vt:lpstr>
      <vt:lpstr>AP H - CostTest</vt:lpstr>
      <vt:lpstr>AP I - Program Changes</vt:lpstr>
      <vt:lpstr>Lookup_Sheet</vt:lpstr>
      <vt:lpstr>' Ap C - Qtr Electric LMI'!Print_Area</vt:lpstr>
      <vt:lpstr>' Ap D - Qtr Electric Business'!Print_Area</vt:lpstr>
      <vt:lpstr>'Ap B - Qtr Electric Master'!Print_Area</vt:lpstr>
      <vt:lpstr>'Ap E - NJ CEA Benchmarks'!Print_Area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Bell, Imran:(PHI)</cp:lastModifiedBy>
  <cp:revision/>
  <dcterms:created xsi:type="dcterms:W3CDTF">2021-03-17T19:24:16Z</dcterms:created>
  <dcterms:modified xsi:type="dcterms:W3CDTF">2024-01-19T16:56:41Z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0x010100676C8FC46E59EF4695C6B777F907D47D</vt:lpwstr>
  </property>
  <property fmtid="{D5CDD505-2E9C-101B-9397-08002B2CF9AE}" pid="3" name="SV_QUERY_LIST_4F35BF76-6C0D-4D9B-82B2-816C12CF3733">
    <vt:lpwstr>empty_477D106A-C0D6-4607-AEBD-E2C9D60EA279</vt:lpwstr>
  </property>
  <property fmtid="{D5CDD505-2E9C-101B-9397-08002B2CF9AE}" pid="4" name="MSIP_Label_c968b3d1-e05f-4796-9c23-acaf26d588cb_Enabled">
    <vt:lpwstr>true</vt:lpwstr>
  </property>
  <property fmtid="{D5CDD505-2E9C-101B-9397-08002B2CF9AE}" pid="5" name="MSIP_Label_c968b3d1-e05f-4796-9c23-acaf26d588cb_SetDate">
    <vt:lpwstr>2022-01-25T14:13:43Z</vt:lpwstr>
  </property>
  <property fmtid="{D5CDD505-2E9C-101B-9397-08002B2CF9AE}" pid="6" name="MSIP_Label_c968b3d1-e05f-4796-9c23-acaf26d588cb_Method">
    <vt:lpwstr>Standard</vt:lpwstr>
  </property>
  <property fmtid="{D5CDD505-2E9C-101B-9397-08002B2CF9AE}" pid="7" name="MSIP_Label_c968b3d1-e05f-4796-9c23-acaf26d588cb_Name">
    <vt:lpwstr>Company Confidential Information</vt:lpwstr>
  </property>
  <property fmtid="{D5CDD505-2E9C-101B-9397-08002B2CF9AE}" pid="8" name="MSIP_Label_c968b3d1-e05f-4796-9c23-acaf26d588cb_SiteId">
    <vt:lpwstr>600d01fc-055f-49c6-868f-3ecfcc791773</vt:lpwstr>
  </property>
  <property fmtid="{D5CDD505-2E9C-101B-9397-08002B2CF9AE}" pid="9" name="MSIP_Label_c968b3d1-e05f-4796-9c23-acaf26d588cb_ActionId">
    <vt:lpwstr>a86b1542-9f49-4e02-9f21-8be907b69305</vt:lpwstr>
  </property>
  <property fmtid="{D5CDD505-2E9C-101B-9397-08002B2CF9AE}" pid="10" name="MSIP_Label_c968b3d1-e05f-4796-9c23-acaf26d588cb_ContentBits">
    <vt:lpwstr>0</vt:lpwstr>
  </property>
  <property fmtid="{D5CDD505-2E9C-101B-9397-08002B2CF9AE}" pid="11" name="MediaServiceImageTags">
    <vt:lpwstr/>
  </property>
</Properties>
</file>