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ed\Desktop\"/>
    </mc:Choice>
  </mc:AlternateContent>
  <bookViews>
    <workbookView xWindow="-25785" yWindow="-8925" windowWidth="25200" windowHeight="16815" tabRatio="608"/>
  </bookViews>
  <sheets>
    <sheet name="Costs &amp; Rate Impacts - All" sheetId="9" r:id="rId1"/>
    <sheet name="Costs &amp; Rate Impacts - Solar" sheetId="12" r:id="rId2"/>
    <sheet name="Calculation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6" i="9" l="1"/>
  <c r="AH142" i="12"/>
  <c r="AG142" i="12"/>
  <c r="AF142" i="12"/>
  <c r="AE142" i="12"/>
  <c r="AD142" i="12"/>
  <c r="AC142" i="12"/>
  <c r="AB142" i="12"/>
  <c r="AA142" i="12"/>
  <c r="Z142" i="12"/>
  <c r="Y142" i="12"/>
  <c r="X142" i="12"/>
  <c r="W142" i="12"/>
  <c r="V142" i="12"/>
  <c r="U142" i="12"/>
  <c r="T142" i="12"/>
  <c r="S142" i="12"/>
  <c r="R142" i="12"/>
  <c r="Q142" i="12"/>
  <c r="P142" i="12"/>
  <c r="O142" i="12"/>
  <c r="U138" i="12"/>
  <c r="V138" i="12" s="1"/>
  <c r="W138" i="12" s="1"/>
  <c r="X138" i="12" s="1"/>
  <c r="Y138" i="12" s="1"/>
  <c r="Z138" i="12" s="1"/>
  <c r="AA138" i="12" s="1"/>
  <c r="AB138" i="12" s="1"/>
  <c r="AC138" i="12" s="1"/>
  <c r="AD138" i="12" s="1"/>
  <c r="AE138" i="12" s="1"/>
  <c r="AF138" i="12" s="1"/>
  <c r="AG138" i="12" s="1"/>
  <c r="AH138" i="12" s="1"/>
  <c r="H138" i="12"/>
  <c r="I138" i="12" s="1"/>
  <c r="J138" i="12" s="1"/>
  <c r="K138" i="12" s="1"/>
  <c r="L138" i="12" s="1"/>
  <c r="M138" i="12" s="1"/>
  <c r="N138" i="12" s="1"/>
  <c r="O138" i="12" s="1"/>
  <c r="P138" i="12" s="1"/>
  <c r="Q138" i="12" s="1"/>
  <c r="R138" i="12" s="1"/>
  <c r="S138" i="12" s="1"/>
  <c r="T138" i="12" s="1"/>
  <c r="G138" i="12"/>
  <c r="F138" i="12"/>
  <c r="E138" i="12"/>
  <c r="D138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N107" i="12"/>
  <c r="M107" i="12"/>
  <c r="L107" i="12"/>
  <c r="K107" i="12"/>
  <c r="K142" i="12" s="1"/>
  <c r="J107" i="12"/>
  <c r="J142" i="12" s="1"/>
  <c r="I107" i="12"/>
  <c r="H107" i="12"/>
  <c r="N98" i="12"/>
  <c r="M98" i="12"/>
  <c r="L98" i="12"/>
  <c r="K98" i="12"/>
  <c r="J98" i="12"/>
  <c r="I98" i="12"/>
  <c r="H98" i="12"/>
  <c r="G98" i="12"/>
  <c r="F98" i="12"/>
  <c r="G96" i="12"/>
  <c r="H96" i="12" s="1"/>
  <c r="I96" i="12" s="1"/>
  <c r="J96" i="12" s="1"/>
  <c r="K96" i="12" s="1"/>
  <c r="L96" i="12" s="1"/>
  <c r="M96" i="12" s="1"/>
  <c r="N96" i="12" s="1"/>
  <c r="O96" i="12" s="1"/>
  <c r="P96" i="12" s="1"/>
  <c r="Q96" i="12" s="1"/>
  <c r="R96" i="12" s="1"/>
  <c r="S96" i="12" s="1"/>
  <c r="T96" i="12" s="1"/>
  <c r="U96" i="12" s="1"/>
  <c r="V96" i="12" s="1"/>
  <c r="W96" i="12" s="1"/>
  <c r="X96" i="12" s="1"/>
  <c r="Y96" i="12" s="1"/>
  <c r="Z96" i="12" s="1"/>
  <c r="AA96" i="12" s="1"/>
  <c r="AB96" i="12" s="1"/>
  <c r="AC96" i="12" s="1"/>
  <c r="AD96" i="12" s="1"/>
  <c r="AE96" i="12" s="1"/>
  <c r="AF96" i="12" s="1"/>
  <c r="AG96" i="12" s="1"/>
  <c r="AH96" i="12" s="1"/>
  <c r="F96" i="12"/>
  <c r="AH86" i="12"/>
  <c r="AG86" i="12"/>
  <c r="AF86" i="12"/>
  <c r="AE86" i="12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K82" i="12"/>
  <c r="L82" i="12" s="1"/>
  <c r="M82" i="12" s="1"/>
  <c r="N82" i="12" s="1"/>
  <c r="O82" i="12" s="1"/>
  <c r="P82" i="12" s="1"/>
  <c r="Q82" i="12" s="1"/>
  <c r="J82" i="12"/>
  <c r="I82" i="12"/>
  <c r="H82" i="12"/>
  <c r="G82" i="12"/>
  <c r="F82" i="12"/>
  <c r="E82" i="12"/>
  <c r="D82" i="12"/>
  <c r="G80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O67" i="12"/>
  <c r="P67" i="12" s="1"/>
  <c r="K62" i="12"/>
  <c r="L62" i="12" s="1"/>
  <c r="M62" i="12" s="1"/>
  <c r="N62" i="12" s="1"/>
  <c r="O62" i="12" s="1"/>
  <c r="P62" i="12" s="1"/>
  <c r="Q62" i="12" s="1"/>
  <c r="R62" i="12" s="1"/>
  <c r="S62" i="12" s="1"/>
  <c r="T62" i="12" s="1"/>
  <c r="U62" i="12" s="1"/>
  <c r="V62" i="12" s="1"/>
  <c r="W62" i="12" s="1"/>
  <c r="X62" i="12" s="1"/>
  <c r="Y62" i="12" s="1"/>
  <c r="Z62" i="12" s="1"/>
  <c r="AA62" i="12" s="1"/>
  <c r="AB62" i="12" s="1"/>
  <c r="AC62" i="12" s="1"/>
  <c r="AD62" i="12" s="1"/>
  <c r="AE62" i="12" s="1"/>
  <c r="AF62" i="12" s="1"/>
  <c r="AG62" i="12" s="1"/>
  <c r="AH62" i="12" s="1"/>
  <c r="I62" i="12"/>
  <c r="H59" i="12"/>
  <c r="AH55" i="12"/>
  <c r="AG55" i="12"/>
  <c r="W55" i="12"/>
  <c r="V55" i="12"/>
  <c r="U55" i="12"/>
  <c r="D54" i="12"/>
  <c r="AH52" i="12"/>
  <c r="AG52" i="12"/>
  <c r="AF52" i="12"/>
  <c r="AE52" i="12"/>
  <c r="AD52" i="12"/>
  <c r="AC52" i="12"/>
  <c r="AB52" i="12"/>
  <c r="AA52" i="12"/>
  <c r="Z52" i="12"/>
  <c r="Z55" i="12" s="1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AJ52" i="12" s="1"/>
  <c r="J52" i="12"/>
  <c r="I52" i="12"/>
  <c r="H52" i="12"/>
  <c r="G52" i="12"/>
  <c r="F52" i="12"/>
  <c r="E52" i="12"/>
  <c r="D52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AH47" i="12"/>
  <c r="AG47" i="12"/>
  <c r="AF47" i="12"/>
  <c r="AF55" i="12" s="1"/>
  <c r="AE47" i="12"/>
  <c r="AE55" i="12" s="1"/>
  <c r="AD47" i="12"/>
  <c r="AD55" i="12" s="1"/>
  <c r="AC47" i="12"/>
  <c r="AC55" i="12" s="1"/>
  <c r="AB47" i="12"/>
  <c r="AB55" i="12" s="1"/>
  <c r="AA47" i="12"/>
  <c r="AA55" i="12" s="1"/>
  <c r="Z47" i="12"/>
  <c r="Y47" i="12"/>
  <c r="Y55" i="12" s="1"/>
  <c r="X47" i="12"/>
  <c r="X55" i="12" s="1"/>
  <c r="W47" i="12"/>
  <c r="V47" i="12"/>
  <c r="U47" i="12"/>
  <c r="T47" i="12"/>
  <c r="T55" i="12" s="1"/>
  <c r="S47" i="12"/>
  <c r="S55" i="12" s="1"/>
  <c r="R47" i="12"/>
  <c r="R55" i="12" s="1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D41" i="12"/>
  <c r="D42" i="12" s="1"/>
  <c r="E40" i="12"/>
  <c r="D39" i="12"/>
  <c r="F37" i="12"/>
  <c r="E37" i="12"/>
  <c r="E76" i="12" s="1"/>
  <c r="D37" i="12"/>
  <c r="D76" i="12" s="1"/>
  <c r="F34" i="12"/>
  <c r="G34" i="12" s="1"/>
  <c r="H34" i="12" s="1"/>
  <c r="I34" i="12" s="1"/>
  <c r="J34" i="12" s="1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V34" i="12" s="1"/>
  <c r="W34" i="12" s="1"/>
  <c r="X34" i="12" s="1"/>
  <c r="Y34" i="12" s="1"/>
  <c r="Z34" i="12" s="1"/>
  <c r="AA34" i="12" s="1"/>
  <c r="AB34" i="12" s="1"/>
  <c r="AC34" i="12" s="1"/>
  <c r="AD34" i="12" s="1"/>
  <c r="AE34" i="12" s="1"/>
  <c r="AF34" i="12" s="1"/>
  <c r="AG34" i="12" s="1"/>
  <c r="AH34" i="12" s="1"/>
  <c r="H28" i="12"/>
  <c r="G28" i="12"/>
  <c r="F28" i="12"/>
  <c r="E28" i="12"/>
  <c r="D28" i="12"/>
  <c r="I27" i="12"/>
  <c r="I28" i="12" s="1"/>
  <c r="H27" i="12"/>
  <c r="G27" i="12"/>
  <c r="F27" i="12"/>
  <c r="E27" i="12"/>
  <c r="D27" i="12"/>
  <c r="C27" i="12"/>
  <c r="C28" i="12" s="1"/>
  <c r="I26" i="12"/>
  <c r="H26" i="12"/>
  <c r="G26" i="12"/>
  <c r="F26" i="12"/>
  <c r="E26" i="12"/>
  <c r="D26" i="12"/>
  <c r="C26" i="12"/>
  <c r="C15" i="12"/>
  <c r="F98" i="9"/>
  <c r="N107" i="9"/>
  <c r="M107" i="9"/>
  <c r="L107" i="9"/>
  <c r="K107" i="9"/>
  <c r="J107" i="9"/>
  <c r="I107" i="9"/>
  <c r="H107" i="9"/>
  <c r="N98" i="9"/>
  <c r="M98" i="9"/>
  <c r="L98" i="9"/>
  <c r="K98" i="9"/>
  <c r="J98" i="9"/>
  <c r="I98" i="9"/>
  <c r="H98" i="9"/>
  <c r="G98" i="9"/>
  <c r="H142" i="12" l="1"/>
  <c r="I142" i="12"/>
  <c r="E41" i="12"/>
  <c r="F40" i="12"/>
  <c r="D55" i="12"/>
  <c r="Q67" i="12"/>
  <c r="F50" i="12"/>
  <c r="G109" i="12"/>
  <c r="F109" i="12"/>
  <c r="AJ47" i="12"/>
  <c r="G50" i="12"/>
  <c r="D72" i="12"/>
  <c r="D88" i="12" s="1"/>
  <c r="G108" i="12"/>
  <c r="F110" i="12"/>
  <c r="F81" i="12"/>
  <c r="F76" i="12"/>
  <c r="G37" i="12"/>
  <c r="R82" i="12"/>
  <c r="S82" i="12" s="1"/>
  <c r="T82" i="12" s="1"/>
  <c r="U82" i="12" s="1"/>
  <c r="V82" i="12" s="1"/>
  <c r="I59" i="12"/>
  <c r="E42" i="12"/>
  <c r="E55" i="12" s="1"/>
  <c r="G81" i="12"/>
  <c r="E39" i="12"/>
  <c r="H60" i="12"/>
  <c r="H80" i="12"/>
  <c r="AJ86" i="12"/>
  <c r="F142" i="12"/>
  <c r="F108" i="12"/>
  <c r="AJ84" i="12"/>
  <c r="L142" i="12"/>
  <c r="M142" i="12"/>
  <c r="N142" i="12"/>
  <c r="AB86" i="9"/>
  <c r="AC86" i="9"/>
  <c r="AD86" i="9"/>
  <c r="AE86" i="9"/>
  <c r="AF86" i="9"/>
  <c r="AG86" i="9"/>
  <c r="AH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AH84" i="9"/>
  <c r="AG8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D86" i="9"/>
  <c r="H82" i="9"/>
  <c r="I82" i="9"/>
  <c r="J82" i="9"/>
  <c r="K82" i="9"/>
  <c r="L82" i="9" s="1"/>
  <c r="M82" i="9" s="1"/>
  <c r="N82" i="9" s="1"/>
  <c r="O82" i="9" s="1"/>
  <c r="P82" i="9" s="1"/>
  <c r="Q82" i="9" s="1"/>
  <c r="R82" i="9" s="1"/>
  <c r="S82" i="9" s="1"/>
  <c r="T82" i="9" s="1"/>
  <c r="U82" i="9" s="1"/>
  <c r="V82" i="9" s="1"/>
  <c r="W82" i="9" s="1"/>
  <c r="X82" i="9" s="1"/>
  <c r="Y82" i="9" s="1"/>
  <c r="Z82" i="9" s="1"/>
  <c r="AA82" i="9" s="1"/>
  <c r="AB82" i="9" s="1"/>
  <c r="AC82" i="9" s="1"/>
  <c r="AD82" i="9" s="1"/>
  <c r="AE82" i="9" s="1"/>
  <c r="AF82" i="9" s="1"/>
  <c r="AG82" i="9" s="1"/>
  <c r="AH82" i="9" s="1"/>
  <c r="G82" i="9"/>
  <c r="D82" i="9"/>
  <c r="E82" i="9"/>
  <c r="F82" i="9"/>
  <c r="AH142" i="9"/>
  <c r="AG142" i="9"/>
  <c r="AF142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G80" i="9"/>
  <c r="I27" i="9"/>
  <c r="H27" i="9"/>
  <c r="G27" i="9"/>
  <c r="F27" i="9"/>
  <c r="E27" i="9"/>
  <c r="D27" i="9"/>
  <c r="C27" i="9"/>
  <c r="I26" i="9"/>
  <c r="H26" i="9"/>
  <c r="G26" i="9"/>
  <c r="F26" i="9"/>
  <c r="E26" i="9"/>
  <c r="D26" i="9"/>
  <c r="C105" i="8"/>
  <c r="C103" i="8"/>
  <c r="C106" i="8" s="1"/>
  <c r="C109" i="8" s="1"/>
  <c r="W82" i="12" l="1"/>
  <c r="D89" i="12"/>
  <c r="E72" i="12"/>
  <c r="E88" i="12" s="1"/>
  <c r="E89" i="12" s="1"/>
  <c r="I80" i="12"/>
  <c r="H81" i="12"/>
  <c r="G40" i="12"/>
  <c r="F41" i="12"/>
  <c r="F42" i="12" s="1"/>
  <c r="R67" i="12"/>
  <c r="H63" i="12"/>
  <c r="H61" i="12"/>
  <c r="H110" i="12"/>
  <c r="F39" i="12"/>
  <c r="E54" i="12"/>
  <c r="I60" i="12"/>
  <c r="J59" i="12"/>
  <c r="G125" i="12"/>
  <c r="G124" i="12"/>
  <c r="G126" i="12"/>
  <c r="F125" i="12"/>
  <c r="F124" i="12"/>
  <c r="F126" i="12"/>
  <c r="G110" i="12"/>
  <c r="G76" i="12"/>
  <c r="H37" i="12"/>
  <c r="H109" i="12" s="1"/>
  <c r="H80" i="9"/>
  <c r="F28" i="9"/>
  <c r="G28" i="9"/>
  <c r="H28" i="9"/>
  <c r="E28" i="9"/>
  <c r="I28" i="9"/>
  <c r="C28" i="9"/>
  <c r="D28" i="9"/>
  <c r="B15" i="8"/>
  <c r="B17" i="8" s="1"/>
  <c r="P74" i="8"/>
  <c r="Q74" i="8" s="1"/>
  <c r="R74" i="8" s="1"/>
  <c r="S74" i="8" s="1"/>
  <c r="T74" i="8" s="1"/>
  <c r="U74" i="8" s="1"/>
  <c r="V74" i="8" s="1"/>
  <c r="W74" i="8" s="1"/>
  <c r="X74" i="8" s="1"/>
  <c r="Y74" i="8" s="1"/>
  <c r="Z74" i="8" s="1"/>
  <c r="AA74" i="8" s="1"/>
  <c r="AB74" i="8" s="1"/>
  <c r="AC74" i="8" s="1"/>
  <c r="AD74" i="8" s="1"/>
  <c r="AE74" i="8" s="1"/>
  <c r="AF74" i="8" s="1"/>
  <c r="AG74" i="8" s="1"/>
  <c r="AH74" i="8" s="1"/>
  <c r="AI74" i="8" s="1"/>
  <c r="AJ74" i="8" s="1"/>
  <c r="O73" i="8"/>
  <c r="P73" i="8" s="1"/>
  <c r="Q73" i="8" s="1"/>
  <c r="R73" i="8" s="1"/>
  <c r="S73" i="8" s="1"/>
  <c r="T73" i="8" s="1"/>
  <c r="U73" i="8" s="1"/>
  <c r="V73" i="8" s="1"/>
  <c r="W73" i="8" s="1"/>
  <c r="X73" i="8" s="1"/>
  <c r="Y73" i="8" s="1"/>
  <c r="Z73" i="8" s="1"/>
  <c r="AA73" i="8" s="1"/>
  <c r="AB73" i="8" s="1"/>
  <c r="AC73" i="8" s="1"/>
  <c r="AD73" i="8" s="1"/>
  <c r="AE73" i="8" s="1"/>
  <c r="AF73" i="8" s="1"/>
  <c r="AG73" i="8" s="1"/>
  <c r="AH73" i="8" s="1"/>
  <c r="AI73" i="8" s="1"/>
  <c r="AJ73" i="8" s="1"/>
  <c r="N72" i="8"/>
  <c r="O72" i="8" s="1"/>
  <c r="P72" i="8" s="1"/>
  <c r="Q72" i="8" s="1"/>
  <c r="R72" i="8" s="1"/>
  <c r="S72" i="8" s="1"/>
  <c r="T72" i="8" s="1"/>
  <c r="U72" i="8" s="1"/>
  <c r="V72" i="8" s="1"/>
  <c r="W72" i="8" s="1"/>
  <c r="X72" i="8" s="1"/>
  <c r="Y72" i="8" s="1"/>
  <c r="Z72" i="8" s="1"/>
  <c r="AA72" i="8" s="1"/>
  <c r="AB72" i="8" s="1"/>
  <c r="AC72" i="8" s="1"/>
  <c r="AD72" i="8" s="1"/>
  <c r="AE72" i="8" s="1"/>
  <c r="AF72" i="8" s="1"/>
  <c r="AG72" i="8" s="1"/>
  <c r="AH72" i="8" s="1"/>
  <c r="AI72" i="8" s="1"/>
  <c r="AJ72" i="8" s="1"/>
  <c r="M71" i="8"/>
  <c r="N71" i="8" s="1"/>
  <c r="O71" i="8" s="1"/>
  <c r="P71" i="8" s="1"/>
  <c r="Q71" i="8" s="1"/>
  <c r="R71" i="8" s="1"/>
  <c r="S71" i="8" s="1"/>
  <c r="T71" i="8" s="1"/>
  <c r="U71" i="8" s="1"/>
  <c r="V71" i="8" s="1"/>
  <c r="W71" i="8" s="1"/>
  <c r="X71" i="8" s="1"/>
  <c r="Y71" i="8" s="1"/>
  <c r="Z71" i="8" s="1"/>
  <c r="AA71" i="8" s="1"/>
  <c r="AB71" i="8" s="1"/>
  <c r="AC71" i="8" s="1"/>
  <c r="AD71" i="8" s="1"/>
  <c r="AE71" i="8" s="1"/>
  <c r="AF71" i="8" s="1"/>
  <c r="AG71" i="8" s="1"/>
  <c r="AH71" i="8" s="1"/>
  <c r="AI71" i="8" s="1"/>
  <c r="AJ71" i="8" s="1"/>
  <c r="L70" i="8"/>
  <c r="M70" i="8" s="1"/>
  <c r="N70" i="8" s="1"/>
  <c r="O70" i="8" s="1"/>
  <c r="P70" i="8" s="1"/>
  <c r="Q70" i="8" s="1"/>
  <c r="R70" i="8" s="1"/>
  <c r="S70" i="8" s="1"/>
  <c r="T70" i="8" s="1"/>
  <c r="U70" i="8" s="1"/>
  <c r="V70" i="8" s="1"/>
  <c r="W70" i="8" s="1"/>
  <c r="X70" i="8" s="1"/>
  <c r="Y70" i="8" s="1"/>
  <c r="Z70" i="8" s="1"/>
  <c r="AA70" i="8" s="1"/>
  <c r="AB70" i="8" s="1"/>
  <c r="AC70" i="8" s="1"/>
  <c r="AD70" i="8" s="1"/>
  <c r="AE70" i="8" s="1"/>
  <c r="AF70" i="8" s="1"/>
  <c r="AG70" i="8" s="1"/>
  <c r="AH70" i="8" s="1"/>
  <c r="AI70" i="8" s="1"/>
  <c r="AJ70" i="8" s="1"/>
  <c r="K69" i="8"/>
  <c r="L69" i="8" s="1"/>
  <c r="M69" i="8" s="1"/>
  <c r="N69" i="8" s="1"/>
  <c r="O69" i="8" s="1"/>
  <c r="P69" i="8" s="1"/>
  <c r="Q69" i="8" s="1"/>
  <c r="R69" i="8" s="1"/>
  <c r="S69" i="8" s="1"/>
  <c r="T69" i="8" s="1"/>
  <c r="U69" i="8" s="1"/>
  <c r="V69" i="8" s="1"/>
  <c r="W69" i="8" s="1"/>
  <c r="X69" i="8" s="1"/>
  <c r="Y69" i="8" s="1"/>
  <c r="Z69" i="8" s="1"/>
  <c r="AA69" i="8" s="1"/>
  <c r="AB69" i="8" s="1"/>
  <c r="AC69" i="8" s="1"/>
  <c r="AD69" i="8" s="1"/>
  <c r="AE69" i="8" s="1"/>
  <c r="AF69" i="8" s="1"/>
  <c r="AG69" i="8" s="1"/>
  <c r="AH69" i="8" s="1"/>
  <c r="AI69" i="8" s="1"/>
  <c r="AJ69" i="8" s="1"/>
  <c r="J68" i="8"/>
  <c r="K68" i="8" s="1"/>
  <c r="L68" i="8" s="1"/>
  <c r="M68" i="8" s="1"/>
  <c r="N68" i="8" s="1"/>
  <c r="O68" i="8" s="1"/>
  <c r="P68" i="8" s="1"/>
  <c r="Q68" i="8" s="1"/>
  <c r="R68" i="8" s="1"/>
  <c r="S68" i="8" s="1"/>
  <c r="T68" i="8" s="1"/>
  <c r="U68" i="8" s="1"/>
  <c r="V68" i="8" s="1"/>
  <c r="W68" i="8" s="1"/>
  <c r="X68" i="8" s="1"/>
  <c r="Y68" i="8" s="1"/>
  <c r="Z68" i="8" s="1"/>
  <c r="AA68" i="8" s="1"/>
  <c r="AB68" i="8" s="1"/>
  <c r="AC68" i="8" s="1"/>
  <c r="AD68" i="8" s="1"/>
  <c r="AE68" i="8" s="1"/>
  <c r="AF68" i="8" s="1"/>
  <c r="AG68" i="8" s="1"/>
  <c r="AH68" i="8" s="1"/>
  <c r="AI68" i="8" s="1"/>
  <c r="AJ68" i="8" s="1"/>
  <c r="I67" i="8"/>
  <c r="J67" i="8" s="1"/>
  <c r="K67" i="8" s="1"/>
  <c r="L67" i="8" s="1"/>
  <c r="M67" i="8" s="1"/>
  <c r="N67" i="8" s="1"/>
  <c r="O67" i="8" s="1"/>
  <c r="P67" i="8" s="1"/>
  <c r="Q67" i="8" s="1"/>
  <c r="R67" i="8" s="1"/>
  <c r="S67" i="8" s="1"/>
  <c r="T67" i="8" s="1"/>
  <c r="U67" i="8" s="1"/>
  <c r="V67" i="8" s="1"/>
  <c r="W67" i="8" s="1"/>
  <c r="X67" i="8" s="1"/>
  <c r="Y67" i="8" s="1"/>
  <c r="Z67" i="8" s="1"/>
  <c r="AA67" i="8" s="1"/>
  <c r="AB67" i="8" s="1"/>
  <c r="AC67" i="8" s="1"/>
  <c r="AD67" i="8" s="1"/>
  <c r="AE67" i="8" s="1"/>
  <c r="AF67" i="8" s="1"/>
  <c r="AG67" i="8" s="1"/>
  <c r="AH67" i="8" s="1"/>
  <c r="AI67" i="8" s="1"/>
  <c r="AJ67" i="8" s="1"/>
  <c r="H66" i="8"/>
  <c r="I66" i="8" s="1"/>
  <c r="J66" i="8" s="1"/>
  <c r="K66" i="8" s="1"/>
  <c r="L66" i="8" s="1"/>
  <c r="M66" i="8" s="1"/>
  <c r="N66" i="8" s="1"/>
  <c r="O66" i="8" s="1"/>
  <c r="P66" i="8" s="1"/>
  <c r="Q66" i="8" s="1"/>
  <c r="R66" i="8" s="1"/>
  <c r="S66" i="8" s="1"/>
  <c r="T66" i="8" s="1"/>
  <c r="U66" i="8" s="1"/>
  <c r="V66" i="8" s="1"/>
  <c r="W66" i="8" s="1"/>
  <c r="X66" i="8" s="1"/>
  <c r="Y66" i="8" s="1"/>
  <c r="Z66" i="8" s="1"/>
  <c r="AA66" i="8" s="1"/>
  <c r="AB66" i="8" s="1"/>
  <c r="AC66" i="8" s="1"/>
  <c r="AD66" i="8" s="1"/>
  <c r="AE66" i="8" s="1"/>
  <c r="AF66" i="8" s="1"/>
  <c r="AG66" i="8" s="1"/>
  <c r="AH66" i="8" s="1"/>
  <c r="AI66" i="8" s="1"/>
  <c r="AJ66" i="8" s="1"/>
  <c r="G65" i="8"/>
  <c r="H65" i="8" s="1"/>
  <c r="I65" i="8" s="1"/>
  <c r="J65" i="8" s="1"/>
  <c r="K65" i="8" s="1"/>
  <c r="L65" i="8" s="1"/>
  <c r="M65" i="8" s="1"/>
  <c r="N65" i="8" s="1"/>
  <c r="O65" i="8" s="1"/>
  <c r="P65" i="8" s="1"/>
  <c r="Q65" i="8" s="1"/>
  <c r="R65" i="8" s="1"/>
  <c r="S65" i="8" s="1"/>
  <c r="T65" i="8" s="1"/>
  <c r="U65" i="8" s="1"/>
  <c r="V65" i="8" s="1"/>
  <c r="W65" i="8" s="1"/>
  <c r="X65" i="8" s="1"/>
  <c r="Y65" i="8" s="1"/>
  <c r="Z65" i="8" s="1"/>
  <c r="AA65" i="8" s="1"/>
  <c r="AB65" i="8" s="1"/>
  <c r="AC65" i="8" s="1"/>
  <c r="AD65" i="8" s="1"/>
  <c r="AE65" i="8" s="1"/>
  <c r="AF65" i="8" s="1"/>
  <c r="AG65" i="8" s="1"/>
  <c r="AH65" i="8" s="1"/>
  <c r="AI65" i="8" s="1"/>
  <c r="AJ65" i="8" s="1"/>
  <c r="F64" i="8"/>
  <c r="G64" i="8" s="1"/>
  <c r="G63" i="8"/>
  <c r="H63" i="8" s="1"/>
  <c r="I63" i="8" s="1"/>
  <c r="J63" i="8" s="1"/>
  <c r="K63" i="8" s="1"/>
  <c r="L63" i="8" s="1"/>
  <c r="M63" i="8" s="1"/>
  <c r="N63" i="8" s="1"/>
  <c r="O63" i="8" s="1"/>
  <c r="P63" i="8" s="1"/>
  <c r="Q63" i="8" s="1"/>
  <c r="R63" i="8" s="1"/>
  <c r="S63" i="8" s="1"/>
  <c r="T63" i="8" s="1"/>
  <c r="U63" i="8" s="1"/>
  <c r="V63" i="8" s="1"/>
  <c r="W63" i="8" s="1"/>
  <c r="X63" i="8" s="1"/>
  <c r="Y63" i="8" s="1"/>
  <c r="Z63" i="8" s="1"/>
  <c r="AA63" i="8" s="1"/>
  <c r="AB63" i="8" s="1"/>
  <c r="AC63" i="8" s="1"/>
  <c r="AD63" i="8" s="1"/>
  <c r="AE63" i="8" s="1"/>
  <c r="AF63" i="8" s="1"/>
  <c r="AG63" i="8" s="1"/>
  <c r="AH63" i="8" s="1"/>
  <c r="AI63" i="8" s="1"/>
  <c r="AJ63" i="8" s="1"/>
  <c r="F27" i="8"/>
  <c r="G28" i="8"/>
  <c r="B94" i="8"/>
  <c r="AJ94" i="8" s="1"/>
  <c r="B93" i="8"/>
  <c r="AI93" i="8" s="1"/>
  <c r="AJ93" i="8" s="1"/>
  <c r="B92" i="8"/>
  <c r="AH92" i="8" s="1"/>
  <c r="AI92" i="8" s="1"/>
  <c r="AJ92" i="8" s="1"/>
  <c r="B91" i="8"/>
  <c r="AG91" i="8" s="1"/>
  <c r="AH91" i="8" s="1"/>
  <c r="AI91" i="8" s="1"/>
  <c r="AJ91" i="8" s="1"/>
  <c r="B90" i="8"/>
  <c r="AF90" i="8" s="1"/>
  <c r="AG90" i="8" s="1"/>
  <c r="AH90" i="8" s="1"/>
  <c r="AI90" i="8" s="1"/>
  <c r="AJ90" i="8" s="1"/>
  <c r="B89" i="8"/>
  <c r="AE89" i="8" s="1"/>
  <c r="AF89" i="8" s="1"/>
  <c r="AG89" i="8" s="1"/>
  <c r="AH89" i="8" s="1"/>
  <c r="AI89" i="8" s="1"/>
  <c r="AJ89" i="8" s="1"/>
  <c r="B88" i="8"/>
  <c r="AD88" i="8" s="1"/>
  <c r="AE88" i="8" s="1"/>
  <c r="AF88" i="8" s="1"/>
  <c r="AG88" i="8" s="1"/>
  <c r="AH88" i="8" s="1"/>
  <c r="AI88" i="8" s="1"/>
  <c r="AJ88" i="8" s="1"/>
  <c r="B87" i="8"/>
  <c r="AC87" i="8" s="1"/>
  <c r="AD87" i="8" s="1"/>
  <c r="AE87" i="8" s="1"/>
  <c r="AF87" i="8" s="1"/>
  <c r="AG87" i="8" s="1"/>
  <c r="AH87" i="8" s="1"/>
  <c r="AI87" i="8" s="1"/>
  <c r="AJ87" i="8" s="1"/>
  <c r="B86" i="8"/>
  <c r="AB86" i="8" s="1"/>
  <c r="AC86" i="8" s="1"/>
  <c r="AD86" i="8" s="1"/>
  <c r="AE86" i="8" s="1"/>
  <c r="AF86" i="8" s="1"/>
  <c r="AG86" i="8" s="1"/>
  <c r="AH86" i="8" s="1"/>
  <c r="AI86" i="8" s="1"/>
  <c r="AJ86" i="8" s="1"/>
  <c r="B85" i="8"/>
  <c r="AA85" i="8" s="1"/>
  <c r="AB85" i="8" s="1"/>
  <c r="AC85" i="8" s="1"/>
  <c r="AD85" i="8" s="1"/>
  <c r="AE85" i="8" s="1"/>
  <c r="AF85" i="8" s="1"/>
  <c r="AG85" i="8" s="1"/>
  <c r="AH85" i="8" s="1"/>
  <c r="AI85" i="8" s="1"/>
  <c r="AJ85" i="8" s="1"/>
  <c r="B84" i="8"/>
  <c r="Z84" i="8" s="1"/>
  <c r="AA84" i="8" s="1"/>
  <c r="AB84" i="8" s="1"/>
  <c r="AC84" i="8" s="1"/>
  <c r="AD84" i="8" s="1"/>
  <c r="AE84" i="8" s="1"/>
  <c r="AF84" i="8" s="1"/>
  <c r="AG84" i="8" s="1"/>
  <c r="AH84" i="8" s="1"/>
  <c r="AI84" i="8" s="1"/>
  <c r="AJ84" i="8" s="1"/>
  <c r="B83" i="8"/>
  <c r="Y83" i="8" s="1"/>
  <c r="Z83" i="8" s="1"/>
  <c r="AA83" i="8" s="1"/>
  <c r="AB83" i="8" s="1"/>
  <c r="AC83" i="8" s="1"/>
  <c r="AD83" i="8" s="1"/>
  <c r="AE83" i="8" s="1"/>
  <c r="AF83" i="8" s="1"/>
  <c r="AG83" i="8" s="1"/>
  <c r="AH83" i="8" s="1"/>
  <c r="AI83" i="8" s="1"/>
  <c r="AJ83" i="8" s="1"/>
  <c r="B82" i="8"/>
  <c r="X82" i="8" s="1"/>
  <c r="Y82" i="8" s="1"/>
  <c r="Z82" i="8" s="1"/>
  <c r="AA82" i="8" s="1"/>
  <c r="AB82" i="8" s="1"/>
  <c r="AC82" i="8" s="1"/>
  <c r="AD82" i="8" s="1"/>
  <c r="AE82" i="8" s="1"/>
  <c r="AF82" i="8" s="1"/>
  <c r="AG82" i="8" s="1"/>
  <c r="AH82" i="8" s="1"/>
  <c r="AI82" i="8" s="1"/>
  <c r="AJ82" i="8" s="1"/>
  <c r="B81" i="8"/>
  <c r="W81" i="8" s="1"/>
  <c r="X81" i="8" s="1"/>
  <c r="Y81" i="8" s="1"/>
  <c r="Z81" i="8" s="1"/>
  <c r="AA81" i="8" s="1"/>
  <c r="AB81" i="8" s="1"/>
  <c r="AC81" i="8" s="1"/>
  <c r="AD81" i="8" s="1"/>
  <c r="AE81" i="8" s="1"/>
  <c r="AF81" i="8" s="1"/>
  <c r="AG81" i="8" s="1"/>
  <c r="AH81" i="8" s="1"/>
  <c r="AI81" i="8" s="1"/>
  <c r="AJ81" i="8" s="1"/>
  <c r="B80" i="8"/>
  <c r="V80" i="8" s="1"/>
  <c r="W80" i="8" s="1"/>
  <c r="X80" i="8" s="1"/>
  <c r="Y80" i="8" s="1"/>
  <c r="Z80" i="8" s="1"/>
  <c r="AA80" i="8" s="1"/>
  <c r="AB80" i="8" s="1"/>
  <c r="AC80" i="8" s="1"/>
  <c r="AD80" i="8" s="1"/>
  <c r="AE80" i="8" s="1"/>
  <c r="AF80" i="8" s="1"/>
  <c r="AG80" i="8" s="1"/>
  <c r="AH80" i="8" s="1"/>
  <c r="AI80" i="8" s="1"/>
  <c r="AJ80" i="8" s="1"/>
  <c r="B79" i="8"/>
  <c r="U79" i="8" s="1"/>
  <c r="V79" i="8" s="1"/>
  <c r="W79" i="8" s="1"/>
  <c r="X79" i="8" s="1"/>
  <c r="Y79" i="8" s="1"/>
  <c r="Z79" i="8" s="1"/>
  <c r="AA79" i="8" s="1"/>
  <c r="AB79" i="8" s="1"/>
  <c r="AC79" i="8" s="1"/>
  <c r="AD79" i="8" s="1"/>
  <c r="AE79" i="8" s="1"/>
  <c r="AF79" i="8" s="1"/>
  <c r="AG79" i="8" s="1"/>
  <c r="AH79" i="8" s="1"/>
  <c r="AI79" i="8" s="1"/>
  <c r="AJ79" i="8" s="1"/>
  <c r="B78" i="8"/>
  <c r="T78" i="8" s="1"/>
  <c r="U78" i="8" s="1"/>
  <c r="V78" i="8" s="1"/>
  <c r="W78" i="8" s="1"/>
  <c r="X78" i="8" s="1"/>
  <c r="Y78" i="8" s="1"/>
  <c r="Z78" i="8" s="1"/>
  <c r="AA78" i="8" s="1"/>
  <c r="AB78" i="8" s="1"/>
  <c r="AC78" i="8" s="1"/>
  <c r="AD78" i="8" s="1"/>
  <c r="AE78" i="8" s="1"/>
  <c r="AF78" i="8" s="1"/>
  <c r="AG78" i="8" s="1"/>
  <c r="AH78" i="8" s="1"/>
  <c r="AI78" i="8" s="1"/>
  <c r="AJ78" i="8" s="1"/>
  <c r="B77" i="8"/>
  <c r="S77" i="8" s="1"/>
  <c r="T77" i="8" s="1"/>
  <c r="U77" i="8" s="1"/>
  <c r="V77" i="8" s="1"/>
  <c r="W77" i="8" s="1"/>
  <c r="X77" i="8" s="1"/>
  <c r="Y77" i="8" s="1"/>
  <c r="Z77" i="8" s="1"/>
  <c r="AA77" i="8" s="1"/>
  <c r="AB77" i="8" s="1"/>
  <c r="AC77" i="8" s="1"/>
  <c r="AD77" i="8" s="1"/>
  <c r="AE77" i="8" s="1"/>
  <c r="AF77" i="8" s="1"/>
  <c r="AG77" i="8" s="1"/>
  <c r="AH77" i="8" s="1"/>
  <c r="AI77" i="8" s="1"/>
  <c r="AJ77" i="8" s="1"/>
  <c r="B76" i="8"/>
  <c r="R76" i="8" s="1"/>
  <c r="S76" i="8" s="1"/>
  <c r="T76" i="8" s="1"/>
  <c r="U76" i="8" s="1"/>
  <c r="V76" i="8" s="1"/>
  <c r="W76" i="8" s="1"/>
  <c r="X76" i="8" s="1"/>
  <c r="Y76" i="8" s="1"/>
  <c r="Z76" i="8" s="1"/>
  <c r="AA76" i="8" s="1"/>
  <c r="AB76" i="8" s="1"/>
  <c r="AC76" i="8" s="1"/>
  <c r="AD76" i="8" s="1"/>
  <c r="AE76" i="8" s="1"/>
  <c r="AF76" i="8" s="1"/>
  <c r="AG76" i="8" s="1"/>
  <c r="AH76" i="8" s="1"/>
  <c r="AI76" i="8" s="1"/>
  <c r="AJ76" i="8" s="1"/>
  <c r="B75" i="8"/>
  <c r="Q75" i="8" s="1"/>
  <c r="R75" i="8" s="1"/>
  <c r="S75" i="8" s="1"/>
  <c r="T75" i="8" s="1"/>
  <c r="U75" i="8" s="1"/>
  <c r="V75" i="8" s="1"/>
  <c r="W75" i="8" s="1"/>
  <c r="X75" i="8" s="1"/>
  <c r="Y75" i="8" s="1"/>
  <c r="Z75" i="8" s="1"/>
  <c r="AA75" i="8" s="1"/>
  <c r="AB75" i="8" s="1"/>
  <c r="AC75" i="8" s="1"/>
  <c r="AD75" i="8" s="1"/>
  <c r="AE75" i="8" s="1"/>
  <c r="AF75" i="8" s="1"/>
  <c r="AG75" i="8" s="1"/>
  <c r="AH75" i="8" s="1"/>
  <c r="AI75" i="8" s="1"/>
  <c r="AJ75" i="8" s="1"/>
  <c r="A65" i="8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J31" i="8"/>
  <c r="I30" i="8"/>
  <c r="H29" i="8"/>
  <c r="C26" i="9"/>
  <c r="D37" i="9"/>
  <c r="F96" i="9"/>
  <c r="V13" i="8"/>
  <c r="H108" i="12" l="1"/>
  <c r="I63" i="12"/>
  <c r="F72" i="12"/>
  <c r="F88" i="12" s="1"/>
  <c r="F89" i="12" s="1"/>
  <c r="F90" i="12" s="1"/>
  <c r="S67" i="12"/>
  <c r="J80" i="12"/>
  <c r="H76" i="12"/>
  <c r="I37" i="12"/>
  <c r="H50" i="12"/>
  <c r="F55" i="12"/>
  <c r="X82" i="12"/>
  <c r="H124" i="12"/>
  <c r="H126" i="12"/>
  <c r="H125" i="12"/>
  <c r="F54" i="12"/>
  <c r="G39" i="12"/>
  <c r="J60" i="12"/>
  <c r="K59" i="12"/>
  <c r="G41" i="12"/>
  <c r="G42" i="12" s="1"/>
  <c r="G55" i="12" s="1"/>
  <c r="H40" i="12"/>
  <c r="I80" i="9"/>
  <c r="C64" i="8"/>
  <c r="D64" i="8" s="1"/>
  <c r="D76" i="9"/>
  <c r="F95" i="8"/>
  <c r="G96" i="9"/>
  <c r="D39" i="9"/>
  <c r="G95" i="8"/>
  <c r="H64" i="8"/>
  <c r="F99" i="12" l="1"/>
  <c r="F101" i="12"/>
  <c r="F100" i="12"/>
  <c r="F102" i="12"/>
  <c r="I76" i="12"/>
  <c r="J37" i="12"/>
  <c r="I50" i="12"/>
  <c r="H39" i="12"/>
  <c r="G54" i="12"/>
  <c r="K80" i="12"/>
  <c r="J81" i="12"/>
  <c r="I61" i="12"/>
  <c r="I108" i="12"/>
  <c r="K60" i="12"/>
  <c r="L59" i="12"/>
  <c r="I81" i="12"/>
  <c r="I109" i="12"/>
  <c r="F141" i="12"/>
  <c r="F143" i="12" s="1"/>
  <c r="F92" i="12"/>
  <c r="I110" i="12"/>
  <c r="J109" i="12"/>
  <c r="J108" i="12"/>
  <c r="J61" i="12"/>
  <c r="J63" i="12"/>
  <c r="Y82" i="12"/>
  <c r="T67" i="12"/>
  <c r="G72" i="12"/>
  <c r="F116" i="12"/>
  <c r="F115" i="12"/>
  <c r="H41" i="12"/>
  <c r="H42" i="12" s="1"/>
  <c r="H55" i="12" s="1"/>
  <c r="I40" i="12"/>
  <c r="J80" i="9"/>
  <c r="F142" i="9"/>
  <c r="H96" i="9"/>
  <c r="I64" i="8"/>
  <c r="H95" i="8"/>
  <c r="G99" i="12" l="1"/>
  <c r="G101" i="12"/>
  <c r="G100" i="12"/>
  <c r="G102" i="12"/>
  <c r="J40" i="12"/>
  <c r="I41" i="12"/>
  <c r="I42" i="12" s="1"/>
  <c r="I55" i="12" s="1"/>
  <c r="G88" i="12"/>
  <c r="L80" i="12"/>
  <c r="Z82" i="12"/>
  <c r="I124" i="12"/>
  <c r="I126" i="12"/>
  <c r="I125" i="12"/>
  <c r="J76" i="12"/>
  <c r="K37" i="12"/>
  <c r="K81" i="12" s="1"/>
  <c r="J50" i="12"/>
  <c r="G116" i="12"/>
  <c r="G115" i="12"/>
  <c r="J124" i="12"/>
  <c r="J126" i="12"/>
  <c r="J125" i="12"/>
  <c r="F147" i="12"/>
  <c r="F146" i="12"/>
  <c r="H72" i="12"/>
  <c r="H88" i="12" s="1"/>
  <c r="H89" i="12" s="1"/>
  <c r="U67" i="12"/>
  <c r="I39" i="12"/>
  <c r="H54" i="12"/>
  <c r="L60" i="12"/>
  <c r="M59" i="12"/>
  <c r="F154" i="12"/>
  <c r="F155" i="12" s="1"/>
  <c r="J110" i="12"/>
  <c r="K109" i="12"/>
  <c r="K108" i="12"/>
  <c r="K110" i="12"/>
  <c r="K63" i="12"/>
  <c r="K61" i="12"/>
  <c r="F51" i="9"/>
  <c r="K80" i="9"/>
  <c r="G142" i="9"/>
  <c r="I96" i="9"/>
  <c r="J64" i="8"/>
  <c r="I95" i="8"/>
  <c r="F148" i="12" l="1"/>
  <c r="F150" i="12" s="1"/>
  <c r="K124" i="12"/>
  <c r="K126" i="12"/>
  <c r="K125" i="12"/>
  <c r="J39" i="12"/>
  <c r="I54" i="12"/>
  <c r="V67" i="12"/>
  <c r="M60" i="12"/>
  <c r="N59" i="12"/>
  <c r="H99" i="12"/>
  <c r="H101" i="12"/>
  <c r="H100" i="12"/>
  <c r="H102" i="12"/>
  <c r="AA82" i="12"/>
  <c r="G154" i="12"/>
  <c r="G155" i="12" s="1"/>
  <c r="I72" i="12"/>
  <c r="I88" i="12" s="1"/>
  <c r="I89" i="12" s="1"/>
  <c r="I90" i="12" s="1"/>
  <c r="I141" i="12" s="1"/>
  <c r="I143" i="12" s="1"/>
  <c r="K50" i="12"/>
  <c r="K76" i="12"/>
  <c r="L37" i="12"/>
  <c r="G89" i="12"/>
  <c r="G90" i="12" s="1"/>
  <c r="L63" i="12"/>
  <c r="M80" i="12"/>
  <c r="H116" i="12"/>
  <c r="H115" i="12"/>
  <c r="J41" i="12"/>
  <c r="J42" i="12" s="1"/>
  <c r="K40" i="12"/>
  <c r="G51" i="9"/>
  <c r="L80" i="9"/>
  <c r="H142" i="9"/>
  <c r="J96" i="9"/>
  <c r="K64" i="8"/>
  <c r="J95" i="8"/>
  <c r="F157" i="12" l="1"/>
  <c r="F159" i="12" s="1"/>
  <c r="G141" i="12"/>
  <c r="G92" i="12"/>
  <c r="AB82" i="12"/>
  <c r="M81" i="12"/>
  <c r="N80" i="12"/>
  <c r="I116" i="12"/>
  <c r="I115" i="12"/>
  <c r="M108" i="12"/>
  <c r="M110" i="12"/>
  <c r="M63" i="12"/>
  <c r="M61" i="12"/>
  <c r="M109" i="12"/>
  <c r="L76" i="12"/>
  <c r="M37" i="12"/>
  <c r="L50" i="12"/>
  <c r="I146" i="12"/>
  <c r="I147" i="12"/>
  <c r="O59" i="12"/>
  <c r="N60" i="12"/>
  <c r="L110" i="12"/>
  <c r="H90" i="12"/>
  <c r="H141" i="12" s="1"/>
  <c r="H143" i="12" s="1"/>
  <c r="K39" i="12"/>
  <c r="J54" i="12"/>
  <c r="L81" i="12"/>
  <c r="H154" i="12"/>
  <c r="H155" i="12" s="1"/>
  <c r="K41" i="12"/>
  <c r="K42" i="12" s="1"/>
  <c r="K55" i="12" s="1"/>
  <c r="L40" i="12"/>
  <c r="L61" i="12"/>
  <c r="J55" i="12"/>
  <c r="W67" i="12"/>
  <c r="L108" i="12"/>
  <c r="L109" i="12"/>
  <c r="J72" i="12"/>
  <c r="I101" i="12"/>
  <c r="I100" i="12"/>
  <c r="I102" i="12"/>
  <c r="I99" i="12"/>
  <c r="H51" i="9"/>
  <c r="M80" i="9"/>
  <c r="I142" i="9"/>
  <c r="K96" i="9"/>
  <c r="L64" i="8"/>
  <c r="K95" i="8"/>
  <c r="I154" i="12" l="1"/>
  <c r="I155" i="12" s="1"/>
  <c r="H92" i="12"/>
  <c r="I92" i="12" s="1"/>
  <c r="L41" i="12"/>
  <c r="L42" i="12" s="1"/>
  <c r="L55" i="12" s="1"/>
  <c r="M40" i="12"/>
  <c r="AC82" i="12"/>
  <c r="I148" i="12"/>
  <c r="I157" i="12" s="1"/>
  <c r="N37" i="12"/>
  <c r="M50" i="12"/>
  <c r="M76" i="12"/>
  <c r="X67" i="12"/>
  <c r="P59" i="12"/>
  <c r="O60" i="12"/>
  <c r="G146" i="12"/>
  <c r="G147" i="12"/>
  <c r="J115" i="12"/>
  <c r="J116" i="12"/>
  <c r="J88" i="12"/>
  <c r="L124" i="12"/>
  <c r="L126" i="12"/>
  <c r="L125" i="12"/>
  <c r="N81" i="12"/>
  <c r="O80" i="12"/>
  <c r="N110" i="12"/>
  <c r="N63" i="12"/>
  <c r="N61" i="12"/>
  <c r="J101" i="12"/>
  <c r="J100" i="12"/>
  <c r="J102" i="12"/>
  <c r="J99" i="12"/>
  <c r="L39" i="12"/>
  <c r="K54" i="12"/>
  <c r="M126" i="12"/>
  <c r="M125" i="12"/>
  <c r="M124" i="12"/>
  <c r="H146" i="12"/>
  <c r="H147" i="12"/>
  <c r="K72" i="12"/>
  <c r="K88" i="12" s="1"/>
  <c r="K89" i="12" s="1"/>
  <c r="I51" i="9"/>
  <c r="N80" i="9"/>
  <c r="J142" i="9"/>
  <c r="L96" i="9"/>
  <c r="M64" i="8"/>
  <c r="L95" i="8"/>
  <c r="J154" i="12" l="1"/>
  <c r="J155" i="12" s="1"/>
  <c r="Y67" i="12"/>
  <c r="H148" i="12"/>
  <c r="H157" i="12" s="1"/>
  <c r="L72" i="12"/>
  <c r="L88" i="12" s="1"/>
  <c r="L89" i="12" s="1"/>
  <c r="L90" i="12" s="1"/>
  <c r="L141" i="12" s="1"/>
  <c r="L143" i="12" s="1"/>
  <c r="K115" i="12"/>
  <c r="K116" i="12"/>
  <c r="N126" i="12"/>
  <c r="N125" i="12"/>
  <c r="N124" i="12"/>
  <c r="J89" i="12"/>
  <c r="J90" i="12" s="1"/>
  <c r="N50" i="12"/>
  <c r="O37" i="12"/>
  <c r="N76" i="12"/>
  <c r="N109" i="12"/>
  <c r="AD82" i="12"/>
  <c r="G148" i="12"/>
  <c r="K100" i="12"/>
  <c r="K102" i="12"/>
  <c r="K99" i="12"/>
  <c r="K101" i="12"/>
  <c r="N108" i="12"/>
  <c r="O108" i="12"/>
  <c r="O110" i="12"/>
  <c r="O109" i="12"/>
  <c r="O63" i="12"/>
  <c r="O61" i="12"/>
  <c r="M41" i="12"/>
  <c r="M42" i="12" s="1"/>
  <c r="M55" i="12" s="1"/>
  <c r="N40" i="12"/>
  <c r="M39" i="12"/>
  <c r="L54" i="12"/>
  <c r="P80" i="12"/>
  <c r="O81" i="12"/>
  <c r="Q59" i="12"/>
  <c r="P60" i="12"/>
  <c r="J51" i="9"/>
  <c r="O80" i="9"/>
  <c r="K142" i="9"/>
  <c r="M96" i="9"/>
  <c r="N64" i="8"/>
  <c r="M95" i="8"/>
  <c r="K154" i="12" l="1"/>
  <c r="K155" i="12" s="1"/>
  <c r="Z67" i="12"/>
  <c r="N39" i="12"/>
  <c r="M54" i="12"/>
  <c r="AE82" i="12"/>
  <c r="L100" i="12"/>
  <c r="L102" i="12"/>
  <c r="L99" i="12"/>
  <c r="L101" i="12"/>
  <c r="K90" i="12"/>
  <c r="K141" i="12" s="1"/>
  <c r="K143" i="12" s="1"/>
  <c r="G157" i="12"/>
  <c r="G150" i="12"/>
  <c r="H150" i="12" s="1"/>
  <c r="I150" i="12" s="1"/>
  <c r="J141" i="12"/>
  <c r="J143" i="12" s="1"/>
  <c r="J92" i="12"/>
  <c r="N41" i="12"/>
  <c r="N42" i="12" s="1"/>
  <c r="N55" i="12" s="1"/>
  <c r="O40" i="12"/>
  <c r="P110" i="12"/>
  <c r="P109" i="12"/>
  <c r="P63" i="12"/>
  <c r="P61" i="12"/>
  <c r="M72" i="12"/>
  <c r="M88" i="12" s="1"/>
  <c r="M89" i="12" s="1"/>
  <c r="M90" i="12" s="1"/>
  <c r="M141" i="12" s="1"/>
  <c r="M143" i="12" s="1"/>
  <c r="L115" i="12"/>
  <c r="L116" i="12"/>
  <c r="L146" i="12"/>
  <c r="L147" i="12"/>
  <c r="O125" i="12"/>
  <c r="O124" i="12"/>
  <c r="O126" i="12"/>
  <c r="Q80" i="12"/>
  <c r="P81" i="12"/>
  <c r="O76" i="12"/>
  <c r="P37" i="12"/>
  <c r="P108" i="12" s="1"/>
  <c r="O50" i="12"/>
  <c r="Q60" i="12"/>
  <c r="R59" i="12"/>
  <c r="K51" i="9"/>
  <c r="P80" i="9"/>
  <c r="L142" i="9"/>
  <c r="N96" i="9"/>
  <c r="O64" i="8"/>
  <c r="N95" i="8"/>
  <c r="L154" i="12" l="1"/>
  <c r="L155" i="12" s="1"/>
  <c r="M146" i="12"/>
  <c r="M147" i="12"/>
  <c r="K146" i="12"/>
  <c r="K147" i="12"/>
  <c r="N72" i="12"/>
  <c r="N88" i="12" s="1"/>
  <c r="N89" i="12" s="1"/>
  <c r="N90" i="12" s="1"/>
  <c r="N141" i="12" s="1"/>
  <c r="N143" i="12" s="1"/>
  <c r="Q108" i="12"/>
  <c r="Q63" i="12"/>
  <c r="L148" i="12"/>
  <c r="O39" i="12"/>
  <c r="N54" i="12"/>
  <c r="S59" i="12"/>
  <c r="R60" i="12"/>
  <c r="K92" i="12"/>
  <c r="L92" i="12" s="1"/>
  <c r="M92" i="12" s="1"/>
  <c r="P125" i="12"/>
  <c r="P124" i="12"/>
  <c r="P126" i="12"/>
  <c r="G159" i="12"/>
  <c r="H159" i="12" s="1"/>
  <c r="I159" i="12" s="1"/>
  <c r="Q37" i="12"/>
  <c r="Q61" i="12" s="1"/>
  <c r="P76" i="12"/>
  <c r="P50" i="12"/>
  <c r="P40" i="12"/>
  <c r="O41" i="12"/>
  <c r="O42" i="12" s="1"/>
  <c r="O55" i="12" s="1"/>
  <c r="J146" i="12"/>
  <c r="J147" i="12"/>
  <c r="AF82" i="12"/>
  <c r="M115" i="12"/>
  <c r="M116" i="12"/>
  <c r="M100" i="12"/>
  <c r="M102" i="12"/>
  <c r="M99" i="12"/>
  <c r="M101" i="12"/>
  <c r="R80" i="12"/>
  <c r="AA67" i="12"/>
  <c r="L51" i="9"/>
  <c r="Q80" i="9"/>
  <c r="M142" i="9"/>
  <c r="O96" i="9"/>
  <c r="P96" i="9" s="1"/>
  <c r="Q96" i="9" s="1"/>
  <c r="R96" i="9" s="1"/>
  <c r="S96" i="9" s="1"/>
  <c r="T96" i="9" s="1"/>
  <c r="U96" i="9" s="1"/>
  <c r="V96" i="9" s="1"/>
  <c r="W96" i="9" s="1"/>
  <c r="X96" i="9" s="1"/>
  <c r="Y96" i="9" s="1"/>
  <c r="Z96" i="9" s="1"/>
  <c r="AA96" i="9" s="1"/>
  <c r="AB96" i="9" s="1"/>
  <c r="AC96" i="9" s="1"/>
  <c r="AD96" i="9" s="1"/>
  <c r="AE96" i="9" s="1"/>
  <c r="AF96" i="9" s="1"/>
  <c r="AG96" i="9" s="1"/>
  <c r="AH96" i="9" s="1"/>
  <c r="P64" i="8"/>
  <c r="O95" i="8"/>
  <c r="L157" i="12" l="1"/>
  <c r="K148" i="12"/>
  <c r="K157" i="12" s="1"/>
  <c r="N92" i="12"/>
  <c r="J148" i="12"/>
  <c r="J150" i="12" s="1"/>
  <c r="M148" i="12"/>
  <c r="Q76" i="12"/>
  <c r="Q50" i="12"/>
  <c r="R37" i="12"/>
  <c r="R81" i="12" s="1"/>
  <c r="S80" i="12"/>
  <c r="Q81" i="12"/>
  <c r="AG82" i="12"/>
  <c r="Q109" i="12"/>
  <c r="P39" i="12"/>
  <c r="O54" i="12"/>
  <c r="Q110" i="12"/>
  <c r="M154" i="12"/>
  <c r="M155" i="12" s="1"/>
  <c r="N115" i="12"/>
  <c r="N116" i="12"/>
  <c r="P41" i="12"/>
  <c r="P42" i="12" s="1"/>
  <c r="P55" i="12" s="1"/>
  <c r="Q40" i="12"/>
  <c r="Q41" i="12" s="1"/>
  <c r="Q42" i="12" s="1"/>
  <c r="N146" i="12"/>
  <c r="N147" i="12"/>
  <c r="R63" i="12"/>
  <c r="R108" i="12"/>
  <c r="AB67" i="12"/>
  <c r="O72" i="12"/>
  <c r="O88" i="12" s="1"/>
  <c r="O89" i="12" s="1"/>
  <c r="O90" i="12" s="1"/>
  <c r="S60" i="12"/>
  <c r="T59" i="12"/>
  <c r="N100" i="12"/>
  <c r="N102" i="12"/>
  <c r="N99" i="12"/>
  <c r="N101" i="12"/>
  <c r="M51" i="9"/>
  <c r="R80" i="9"/>
  <c r="N142" i="9"/>
  <c r="Q64" i="8"/>
  <c r="P95" i="8"/>
  <c r="K150" i="12" l="1"/>
  <c r="L150" i="12" s="1"/>
  <c r="M150" i="12" s="1"/>
  <c r="M157" i="12"/>
  <c r="J157" i="12"/>
  <c r="J159" i="12" s="1"/>
  <c r="K159" i="12" s="1"/>
  <c r="L159" i="12" s="1"/>
  <c r="R125" i="12"/>
  <c r="R124" i="12"/>
  <c r="R126" i="12"/>
  <c r="Q55" i="12"/>
  <c r="AJ42" i="12"/>
  <c r="Q125" i="12"/>
  <c r="Q124" i="12"/>
  <c r="Q126" i="12"/>
  <c r="O116" i="12"/>
  <c r="O115" i="12"/>
  <c r="AH82" i="12"/>
  <c r="N154" i="12"/>
  <c r="N155" i="12" s="1"/>
  <c r="AC67" i="12"/>
  <c r="T80" i="12"/>
  <c r="N148" i="12"/>
  <c r="S37" i="12"/>
  <c r="R76" i="12"/>
  <c r="R50" i="12"/>
  <c r="O141" i="12"/>
  <c r="O143" i="12" s="1"/>
  <c r="P72" i="12"/>
  <c r="P88" i="12" s="1"/>
  <c r="P89" i="12" s="1"/>
  <c r="P90" i="12" s="1"/>
  <c r="P141" i="12" s="1"/>
  <c r="P143" i="12" s="1"/>
  <c r="R61" i="12"/>
  <c r="O92" i="12"/>
  <c r="O100" i="12"/>
  <c r="O102" i="12"/>
  <c r="O99" i="12"/>
  <c r="O101" i="12"/>
  <c r="T60" i="12"/>
  <c r="U59" i="12"/>
  <c r="R109" i="12"/>
  <c r="S108" i="12"/>
  <c r="S63" i="12"/>
  <c r="R110" i="12"/>
  <c r="Q39" i="12"/>
  <c r="P54" i="12"/>
  <c r="N51" i="9"/>
  <c r="S80" i="9"/>
  <c r="R64" i="8"/>
  <c r="Q95" i="8"/>
  <c r="M159" i="12" l="1"/>
  <c r="P92" i="12"/>
  <c r="U60" i="12"/>
  <c r="V59" i="12"/>
  <c r="O154" i="12"/>
  <c r="O155" i="12" s="1"/>
  <c r="O146" i="12"/>
  <c r="O147" i="12"/>
  <c r="S76" i="12"/>
  <c r="T37" i="12"/>
  <c r="S50" i="12"/>
  <c r="N157" i="12"/>
  <c r="N150" i="12"/>
  <c r="P102" i="12"/>
  <c r="P99" i="12"/>
  <c r="P101" i="12"/>
  <c r="P100" i="12"/>
  <c r="T81" i="12"/>
  <c r="U80" i="12"/>
  <c r="S61" i="12"/>
  <c r="Q72" i="12"/>
  <c r="Q88" i="12" s="1"/>
  <c r="Q89" i="12" s="1"/>
  <c r="Q90" i="12" s="1"/>
  <c r="Q141" i="12" s="1"/>
  <c r="Q143" i="12" s="1"/>
  <c r="AJ82" i="12"/>
  <c r="Q54" i="12"/>
  <c r="R39" i="12"/>
  <c r="S109" i="12"/>
  <c r="S81" i="12"/>
  <c r="S110" i="12"/>
  <c r="AD67" i="12"/>
  <c r="T109" i="12"/>
  <c r="T63" i="12"/>
  <c r="P116" i="12"/>
  <c r="P115" i="12"/>
  <c r="P146" i="12"/>
  <c r="P147" i="12"/>
  <c r="O51" i="9"/>
  <c r="T80" i="9"/>
  <c r="S64" i="8"/>
  <c r="R95" i="8"/>
  <c r="P148" i="12" l="1"/>
  <c r="S125" i="12"/>
  <c r="S124" i="12"/>
  <c r="S126" i="12"/>
  <c r="V80" i="12"/>
  <c r="T76" i="12"/>
  <c r="U37" i="12"/>
  <c r="T50" i="12"/>
  <c r="Q116" i="12"/>
  <c r="Q115" i="12"/>
  <c r="Q146" i="12"/>
  <c r="Q147" i="12"/>
  <c r="O148" i="12"/>
  <c r="O150" i="12" s="1"/>
  <c r="T61" i="12"/>
  <c r="Q92" i="12"/>
  <c r="N159" i="12"/>
  <c r="P154" i="12"/>
  <c r="P155" i="12" s="1"/>
  <c r="AE67" i="12"/>
  <c r="R72" i="12"/>
  <c r="R88" i="12" s="1"/>
  <c r="R89" i="12" s="1"/>
  <c r="R90" i="12" s="1"/>
  <c r="R141" i="12" s="1"/>
  <c r="R143" i="12" s="1"/>
  <c r="T124" i="12"/>
  <c r="T126" i="12"/>
  <c r="T125" i="12"/>
  <c r="T110" i="12"/>
  <c r="S39" i="12"/>
  <c r="R54" i="12"/>
  <c r="T108" i="12"/>
  <c r="Q102" i="12"/>
  <c r="Q99" i="12"/>
  <c r="Q101" i="12"/>
  <c r="Q100" i="12"/>
  <c r="V60" i="12"/>
  <c r="W59" i="12"/>
  <c r="U108" i="12"/>
  <c r="U110" i="12"/>
  <c r="U61" i="12"/>
  <c r="U63" i="12"/>
  <c r="P51" i="9"/>
  <c r="U80" i="9"/>
  <c r="T64" i="8"/>
  <c r="S95" i="8"/>
  <c r="Q154" i="12" l="1"/>
  <c r="Q155" i="12" s="1"/>
  <c r="R92" i="12"/>
  <c r="Q148" i="12"/>
  <c r="Q157" i="12" s="1"/>
  <c r="P150" i="12"/>
  <c r="V37" i="12"/>
  <c r="U50" i="12"/>
  <c r="AF67" i="12"/>
  <c r="R99" i="12"/>
  <c r="R101" i="12"/>
  <c r="R100" i="12"/>
  <c r="R102" i="12"/>
  <c r="AJ76" i="12"/>
  <c r="V81" i="12"/>
  <c r="W80" i="12"/>
  <c r="T39" i="12"/>
  <c r="S54" i="12"/>
  <c r="S72" i="12"/>
  <c r="S88" i="12" s="1"/>
  <c r="S89" i="12" s="1"/>
  <c r="S90" i="12" s="1"/>
  <c r="S141" i="12" s="1"/>
  <c r="S143" i="12" s="1"/>
  <c r="U81" i="12"/>
  <c r="U109" i="12"/>
  <c r="W60" i="12"/>
  <c r="X59" i="12"/>
  <c r="V109" i="12"/>
  <c r="V108" i="12"/>
  <c r="V110" i="12"/>
  <c r="V61" i="12"/>
  <c r="V63" i="12"/>
  <c r="R116" i="12"/>
  <c r="R115" i="12"/>
  <c r="O157" i="12"/>
  <c r="O159" i="12" s="1"/>
  <c r="R146" i="12"/>
  <c r="R147" i="12"/>
  <c r="P157" i="12"/>
  <c r="Q51" i="9"/>
  <c r="V80" i="9"/>
  <c r="U64" i="8"/>
  <c r="T95" i="8"/>
  <c r="Q150" i="12" l="1"/>
  <c r="P159" i="12"/>
  <c r="Q159" i="12" s="1"/>
  <c r="S92" i="12"/>
  <c r="U124" i="12"/>
  <c r="U126" i="12"/>
  <c r="U125" i="12"/>
  <c r="T72" i="12"/>
  <c r="T88" i="12" s="1"/>
  <c r="T89" i="12" s="1"/>
  <c r="T90" i="12" s="1"/>
  <c r="T141" i="12" s="1"/>
  <c r="T143" i="12" s="1"/>
  <c r="R154" i="12"/>
  <c r="R155" i="12" s="1"/>
  <c r="S116" i="12"/>
  <c r="S115" i="12"/>
  <c r="S99" i="12"/>
  <c r="S101" i="12"/>
  <c r="S100" i="12"/>
  <c r="S102" i="12"/>
  <c r="AG67" i="12"/>
  <c r="X80" i="12"/>
  <c r="S146" i="12"/>
  <c r="S147" i="12"/>
  <c r="U39" i="12"/>
  <c r="T54" i="12"/>
  <c r="V124" i="12"/>
  <c r="V126" i="12"/>
  <c r="V125" i="12"/>
  <c r="W37" i="12"/>
  <c r="W81" i="12" s="1"/>
  <c r="V50" i="12"/>
  <c r="X60" i="12"/>
  <c r="Y59" i="12"/>
  <c r="R148" i="12"/>
  <c r="W109" i="12"/>
  <c r="W108" i="12"/>
  <c r="W110" i="12"/>
  <c r="W63" i="12"/>
  <c r="R51" i="9"/>
  <c r="W80" i="9"/>
  <c r="V64" i="8"/>
  <c r="U95" i="8"/>
  <c r="W124" i="12" l="1"/>
  <c r="W126" i="12"/>
  <c r="W125" i="12"/>
  <c r="S148" i="12"/>
  <c r="R157" i="12"/>
  <c r="R159" i="12" s="1"/>
  <c r="R150" i="12"/>
  <c r="S150" i="12" s="1"/>
  <c r="Y80" i="12"/>
  <c r="T116" i="12"/>
  <c r="T115" i="12"/>
  <c r="T146" i="12"/>
  <c r="T147" i="12"/>
  <c r="Y60" i="12"/>
  <c r="Z59" i="12"/>
  <c r="X63" i="12"/>
  <c r="V39" i="12"/>
  <c r="U54" i="12"/>
  <c r="W50" i="12"/>
  <c r="X37" i="12"/>
  <c r="X81" i="12" s="1"/>
  <c r="AH67" i="12"/>
  <c r="T92" i="12"/>
  <c r="U72" i="12"/>
  <c r="U88" i="12" s="1"/>
  <c r="U89" i="12" s="1"/>
  <c r="U90" i="12" s="1"/>
  <c r="U141" i="12" s="1"/>
  <c r="U143" i="12" s="1"/>
  <c r="W61" i="12"/>
  <c r="T99" i="12"/>
  <c r="T101" i="12"/>
  <c r="T100" i="12"/>
  <c r="T102" i="12"/>
  <c r="S154" i="12"/>
  <c r="S155" i="12" s="1"/>
  <c r="S51" i="9"/>
  <c r="X80" i="9"/>
  <c r="W64" i="8"/>
  <c r="V95" i="8"/>
  <c r="T148" i="12" l="1"/>
  <c r="X124" i="12"/>
  <c r="X126" i="12"/>
  <c r="X125" i="12"/>
  <c r="U101" i="12"/>
  <c r="U100" i="12"/>
  <c r="U102" i="12"/>
  <c r="U99" i="12"/>
  <c r="T154" i="12"/>
  <c r="T155" i="12" s="1"/>
  <c r="T157" i="12" s="1"/>
  <c r="W39" i="12"/>
  <c r="V54" i="12"/>
  <c r="Y81" i="12"/>
  <c r="Z80" i="12"/>
  <c r="V72" i="12"/>
  <c r="V88" i="12" s="1"/>
  <c r="V89" i="12" s="1"/>
  <c r="V90" i="12" s="1"/>
  <c r="V141" i="12" s="1"/>
  <c r="V143" i="12" s="1"/>
  <c r="X61" i="12"/>
  <c r="Y37" i="12"/>
  <c r="X50" i="12"/>
  <c r="X110" i="12"/>
  <c r="T150" i="12"/>
  <c r="U146" i="12"/>
  <c r="U147" i="12"/>
  <c r="X109" i="12"/>
  <c r="S157" i="12"/>
  <c r="S159" i="12" s="1"/>
  <c r="U116" i="12"/>
  <c r="U115" i="12"/>
  <c r="X108" i="12"/>
  <c r="U92" i="12"/>
  <c r="AA59" i="12"/>
  <c r="Z60" i="12"/>
  <c r="Y108" i="12"/>
  <c r="Y63" i="12"/>
  <c r="T51" i="9"/>
  <c r="Y80" i="9"/>
  <c r="X64" i="8"/>
  <c r="W95" i="8"/>
  <c r="U148" i="12" l="1"/>
  <c r="U150" i="12" s="1"/>
  <c r="V92" i="12"/>
  <c r="V101" i="12"/>
  <c r="V100" i="12"/>
  <c r="V102" i="12"/>
  <c r="V99" i="12"/>
  <c r="Z108" i="12"/>
  <c r="Z110" i="12"/>
  <c r="Z109" i="12"/>
  <c r="Z63" i="12"/>
  <c r="Z61" i="12"/>
  <c r="X39" i="12"/>
  <c r="W54" i="12"/>
  <c r="Z37" i="12"/>
  <c r="Y50" i="12"/>
  <c r="U154" i="12"/>
  <c r="U155" i="12" s="1"/>
  <c r="T159" i="12"/>
  <c r="W72" i="12"/>
  <c r="W88" i="12" s="1"/>
  <c r="W89" i="12" s="1"/>
  <c r="W90" i="12" s="1"/>
  <c r="W141" i="12" s="1"/>
  <c r="W143" i="12" s="1"/>
  <c r="V146" i="12"/>
  <c r="V147" i="12"/>
  <c r="Y126" i="12"/>
  <c r="Y125" i="12"/>
  <c r="Y124" i="12"/>
  <c r="Y61" i="12"/>
  <c r="V115" i="12"/>
  <c r="V116" i="12"/>
  <c r="Y109" i="12"/>
  <c r="Z81" i="12"/>
  <c r="AA80" i="12"/>
  <c r="AB59" i="12"/>
  <c r="AA60" i="12"/>
  <c r="Y110" i="12"/>
  <c r="U51" i="9"/>
  <c r="Z80" i="9"/>
  <c r="Y64" i="8"/>
  <c r="X95" i="8"/>
  <c r="V154" i="12" l="1"/>
  <c r="V155" i="12" s="1"/>
  <c r="U157" i="12"/>
  <c r="U159" i="12" s="1"/>
  <c r="AC59" i="12"/>
  <c r="AB60" i="12"/>
  <c r="X72" i="12"/>
  <c r="X88" i="12" s="1"/>
  <c r="X89" i="12" s="1"/>
  <c r="X90" i="12" s="1"/>
  <c r="X141" i="12" s="1"/>
  <c r="X143" i="12" s="1"/>
  <c r="AA110" i="12"/>
  <c r="AA109" i="12"/>
  <c r="AA63" i="12"/>
  <c r="AA61" i="12"/>
  <c r="Y39" i="12"/>
  <c r="X54" i="12"/>
  <c r="Z126" i="12"/>
  <c r="Z125" i="12"/>
  <c r="Z124" i="12"/>
  <c r="W115" i="12"/>
  <c r="W116" i="12"/>
  <c r="W146" i="12"/>
  <c r="W147" i="12"/>
  <c r="W100" i="12"/>
  <c r="W102" i="12"/>
  <c r="W99" i="12"/>
  <c r="W154" i="12" s="1"/>
  <c r="W155" i="12" s="1"/>
  <c r="W101" i="12"/>
  <c r="V148" i="12"/>
  <c r="V157" i="12" s="1"/>
  <c r="AB80" i="12"/>
  <c r="W92" i="12"/>
  <c r="AA37" i="12"/>
  <c r="AA81" i="12" s="1"/>
  <c r="Z50" i="12"/>
  <c r="V51" i="9"/>
  <c r="AA80" i="9"/>
  <c r="Z64" i="8"/>
  <c r="Y95" i="8"/>
  <c r="V150" i="12" l="1"/>
  <c r="V159" i="12"/>
  <c r="AA125" i="12"/>
  <c r="AA124" i="12"/>
  <c r="AA126" i="12"/>
  <c r="AA108" i="12"/>
  <c r="Y72" i="12"/>
  <c r="Y88" i="12" s="1"/>
  <c r="Y89" i="12" s="1"/>
  <c r="Y90" i="12" s="1"/>
  <c r="Y141" i="12" s="1"/>
  <c r="Y143" i="12" s="1"/>
  <c r="Z39" i="12"/>
  <c r="Y54" i="12"/>
  <c r="W148" i="12"/>
  <c r="W157" i="12" s="1"/>
  <c r="W159" i="12" s="1"/>
  <c r="X92" i="12"/>
  <c r="AC80" i="12"/>
  <c r="X115" i="12"/>
  <c r="X116" i="12"/>
  <c r="AB37" i="12"/>
  <c r="AA50" i="12"/>
  <c r="AB108" i="12"/>
  <c r="AB110" i="12"/>
  <c r="AB109" i="12"/>
  <c r="AB63" i="12"/>
  <c r="X146" i="12"/>
  <c r="X147" i="12"/>
  <c r="X100" i="12"/>
  <c r="X102" i="12"/>
  <c r="X99" i="12"/>
  <c r="X101" i="12"/>
  <c r="AC60" i="12"/>
  <c r="AD59" i="12"/>
  <c r="W51" i="9"/>
  <c r="AB80" i="9"/>
  <c r="AA64" i="8"/>
  <c r="Z95" i="8"/>
  <c r="X154" i="12" l="1"/>
  <c r="X155" i="12" s="1"/>
  <c r="Y92" i="12"/>
  <c r="Y100" i="12"/>
  <c r="Y102" i="12"/>
  <c r="Y99" i="12"/>
  <c r="Y101" i="12"/>
  <c r="AA39" i="12"/>
  <c r="Z54" i="12"/>
  <c r="AC37" i="12"/>
  <c r="AC110" i="12" s="1"/>
  <c r="AB50" i="12"/>
  <c r="Y115" i="12"/>
  <c r="Y116" i="12"/>
  <c r="Y146" i="12"/>
  <c r="Y147" i="12"/>
  <c r="AC63" i="12"/>
  <c r="AC61" i="12"/>
  <c r="AB81" i="12"/>
  <c r="X148" i="12"/>
  <c r="X157" i="12" s="1"/>
  <c r="X159" i="12" s="1"/>
  <c r="AB61" i="12"/>
  <c r="AE59" i="12"/>
  <c r="AD60" i="12"/>
  <c r="W150" i="12"/>
  <c r="AD80" i="12"/>
  <c r="Z72" i="12"/>
  <c r="Z88" i="12" s="1"/>
  <c r="Z89" i="12" s="1"/>
  <c r="Z90" i="12" s="1"/>
  <c r="Z141" i="12" s="1"/>
  <c r="Z143" i="12" s="1"/>
  <c r="X51" i="9"/>
  <c r="AC80" i="9"/>
  <c r="AB64" i="8"/>
  <c r="AA95" i="8"/>
  <c r="Y148" i="12" l="1"/>
  <c r="AB125" i="12"/>
  <c r="AB124" i="12"/>
  <c r="AB126" i="12"/>
  <c r="AC109" i="12"/>
  <c r="Z100" i="12"/>
  <c r="Z102" i="12"/>
  <c r="Z99" i="12"/>
  <c r="Z101" i="12"/>
  <c r="Z115" i="12"/>
  <c r="Z116" i="12"/>
  <c r="AC81" i="12"/>
  <c r="AB39" i="12"/>
  <c r="AA54" i="12"/>
  <c r="AC50" i="12"/>
  <c r="AD37" i="12"/>
  <c r="AE80" i="12"/>
  <c r="AD81" i="12"/>
  <c r="Y154" i="12"/>
  <c r="Y155" i="12" s="1"/>
  <c r="AC108" i="12"/>
  <c r="AA72" i="12"/>
  <c r="AA88" i="12" s="1"/>
  <c r="AA89" i="12" s="1"/>
  <c r="AA90" i="12" s="1"/>
  <c r="AA141" i="12" s="1"/>
  <c r="AA143" i="12" s="1"/>
  <c r="X150" i="12"/>
  <c r="Y150" i="12" s="1"/>
  <c r="AD109" i="12"/>
  <c r="AD63" i="12"/>
  <c r="AD61" i="12"/>
  <c r="AD108" i="12"/>
  <c r="Z92" i="12"/>
  <c r="Z146" i="12"/>
  <c r="Z147" i="12"/>
  <c r="AE60" i="12"/>
  <c r="AF59" i="12"/>
  <c r="Y51" i="9"/>
  <c r="AD80" i="9"/>
  <c r="AC64" i="8"/>
  <c r="AB95" i="8"/>
  <c r="Y157" i="12" l="1"/>
  <c r="Y159" i="12" s="1"/>
  <c r="Z148" i="12"/>
  <c r="AE63" i="12"/>
  <c r="Z154" i="12"/>
  <c r="Z155" i="12" s="1"/>
  <c r="Z157" i="12" s="1"/>
  <c r="AA146" i="12"/>
  <c r="AA147" i="12"/>
  <c r="AA92" i="12"/>
  <c r="AE37" i="12"/>
  <c r="AD50" i="12"/>
  <c r="AF80" i="12"/>
  <c r="AB72" i="12"/>
  <c r="AB88" i="12" s="1"/>
  <c r="AB89" i="12" s="1"/>
  <c r="AB90" i="12" s="1"/>
  <c r="AB141" i="12" s="1"/>
  <c r="AB143" i="12" s="1"/>
  <c r="AC39" i="12"/>
  <c r="AB54" i="12"/>
  <c r="AA116" i="12"/>
  <c r="AA115" i="12"/>
  <c r="AD125" i="12"/>
  <c r="AD124" i="12"/>
  <c r="AD126" i="12"/>
  <c r="AD110" i="12"/>
  <c r="AA100" i="12"/>
  <c r="AA102" i="12"/>
  <c r="AA99" i="12"/>
  <c r="AA101" i="12"/>
  <c r="AF60" i="12"/>
  <c r="AG59" i="12"/>
  <c r="Z150" i="12"/>
  <c r="AC125" i="12"/>
  <c r="AC124" i="12"/>
  <c r="AC126" i="12"/>
  <c r="Z51" i="9"/>
  <c r="AE80" i="9"/>
  <c r="AD64" i="8"/>
  <c r="AC95" i="8"/>
  <c r="Z159" i="12" l="1"/>
  <c r="AA148" i="12"/>
  <c r="AB92" i="12"/>
  <c r="AF37" i="12"/>
  <c r="AE50" i="12"/>
  <c r="AB102" i="12"/>
  <c r="AB99" i="12"/>
  <c r="AB101" i="12"/>
  <c r="AB100" i="12"/>
  <c r="AF109" i="12"/>
  <c r="AF108" i="12"/>
  <c r="AF61" i="12"/>
  <c r="AF63" i="12"/>
  <c r="AA154" i="12"/>
  <c r="AA155" i="12" s="1"/>
  <c r="AA157" i="12" s="1"/>
  <c r="AA150" i="12"/>
  <c r="AG60" i="12"/>
  <c r="AH59" i="12"/>
  <c r="AC72" i="12"/>
  <c r="AC88" i="12" s="1"/>
  <c r="AC89" i="12" s="1"/>
  <c r="AC90" i="12" s="1"/>
  <c r="AC141" i="12" s="1"/>
  <c r="AC143" i="12" s="1"/>
  <c r="AB116" i="12"/>
  <c r="AB115" i="12"/>
  <c r="AE108" i="12"/>
  <c r="AE109" i="12"/>
  <c r="AD39" i="12"/>
  <c r="AC54" i="12"/>
  <c r="AE61" i="12"/>
  <c r="AE110" i="12"/>
  <c r="AE81" i="12"/>
  <c r="AB146" i="12"/>
  <c r="AB147" i="12"/>
  <c r="AG80" i="12"/>
  <c r="AF81" i="12"/>
  <c r="AA51" i="9"/>
  <c r="AF80" i="9"/>
  <c r="AE64" i="8"/>
  <c r="AD95" i="8"/>
  <c r="AA159" i="12" l="1"/>
  <c r="AH60" i="12"/>
  <c r="AJ59" i="12"/>
  <c r="AH80" i="12"/>
  <c r="AB154" i="12"/>
  <c r="AB155" i="12" s="1"/>
  <c r="AF124" i="12"/>
  <c r="AF126" i="12"/>
  <c r="AF125" i="12"/>
  <c r="AB148" i="12"/>
  <c r="AB157" i="12" s="1"/>
  <c r="AD72" i="12"/>
  <c r="AD88" i="12" s="1"/>
  <c r="AD89" i="12" s="1"/>
  <c r="AD90" i="12" s="1"/>
  <c r="AD141" i="12" s="1"/>
  <c r="AD143" i="12" s="1"/>
  <c r="AC146" i="12"/>
  <c r="AC147" i="12"/>
  <c r="AG63" i="12"/>
  <c r="AC102" i="12"/>
  <c r="AC99" i="12"/>
  <c r="AC101" i="12"/>
  <c r="AC100" i="12"/>
  <c r="AC92" i="12"/>
  <c r="AC116" i="12"/>
  <c r="AC115" i="12"/>
  <c r="AE125" i="12"/>
  <c r="AE124" i="12"/>
  <c r="AE126" i="12"/>
  <c r="AE39" i="12"/>
  <c r="AD54" i="12"/>
  <c r="AG37" i="12"/>
  <c r="AG110" i="12" s="1"/>
  <c r="AF50" i="12"/>
  <c r="AF110" i="12"/>
  <c r="AB51" i="9"/>
  <c r="AG80" i="9"/>
  <c r="AF64" i="8"/>
  <c r="AE95" i="8"/>
  <c r="AB159" i="12" l="1"/>
  <c r="AB150" i="12"/>
  <c r="AE72" i="12"/>
  <c r="AE88" i="12" s="1"/>
  <c r="AE89" i="12" s="1"/>
  <c r="AE90" i="12" s="1"/>
  <c r="AE141" i="12" s="1"/>
  <c r="AE143" i="12" s="1"/>
  <c r="AG61" i="12"/>
  <c r="AF39" i="12"/>
  <c r="AE54" i="12"/>
  <c r="AH37" i="12"/>
  <c r="AH50" i="12" s="1"/>
  <c r="AG50" i="12"/>
  <c r="AD99" i="12"/>
  <c r="AD101" i="12"/>
  <c r="AD100" i="12"/>
  <c r="AD102" i="12"/>
  <c r="AG109" i="12"/>
  <c r="AG81" i="12"/>
  <c r="AC154" i="12"/>
  <c r="AC155" i="12" s="1"/>
  <c r="AG108" i="12"/>
  <c r="AD92" i="12"/>
  <c r="AC148" i="12"/>
  <c r="AH63" i="12"/>
  <c r="AJ63" i="12" s="1"/>
  <c r="AD146" i="12"/>
  <c r="AD147" i="12"/>
  <c r="AD116" i="12"/>
  <c r="AD115" i="12"/>
  <c r="AC51" i="9"/>
  <c r="AH80" i="9"/>
  <c r="AG64" i="8"/>
  <c r="AF95" i="8"/>
  <c r="AE92" i="12" l="1"/>
  <c r="AE99" i="12"/>
  <c r="AE101" i="12"/>
  <c r="AE100" i="12"/>
  <c r="AE102" i="12"/>
  <c r="AH109" i="12"/>
  <c r="AF72" i="12"/>
  <c r="AF88" i="12" s="1"/>
  <c r="AF89" i="12" s="1"/>
  <c r="AF90" i="12" s="1"/>
  <c r="AF141" i="12" s="1"/>
  <c r="AF143" i="12" s="1"/>
  <c r="AG39" i="12"/>
  <c r="AF54" i="12"/>
  <c r="AE116" i="12"/>
  <c r="AE115" i="12"/>
  <c r="AE146" i="12"/>
  <c r="AE147" i="12"/>
  <c r="AH81" i="12"/>
  <c r="AH61" i="12"/>
  <c r="AD154" i="12"/>
  <c r="AD155" i="12" s="1"/>
  <c r="AC150" i="12"/>
  <c r="AC157" i="12"/>
  <c r="AC159" i="12" s="1"/>
  <c r="AG124" i="12"/>
  <c r="AG126" i="12"/>
  <c r="AG125" i="12"/>
  <c r="AD148" i="12"/>
  <c r="AH110" i="12"/>
  <c r="AH108" i="12"/>
  <c r="AD51" i="9"/>
  <c r="AH64" i="8"/>
  <c r="AG95" i="8"/>
  <c r="AD150" i="12" l="1"/>
  <c r="AF99" i="12"/>
  <c r="AF101" i="12"/>
  <c r="AF100" i="12"/>
  <c r="AF102" i="12"/>
  <c r="AH39" i="12"/>
  <c r="AH54" i="12" s="1"/>
  <c r="AG54" i="12"/>
  <c r="AG72" i="12"/>
  <c r="AG88" i="12" s="1"/>
  <c r="AG89" i="12" s="1"/>
  <c r="AG90" i="12" s="1"/>
  <c r="AG141" i="12" s="1"/>
  <c r="AG143" i="12" s="1"/>
  <c r="AD159" i="12"/>
  <c r="AF116" i="12"/>
  <c r="AF115" i="12"/>
  <c r="AH124" i="12"/>
  <c r="AH126" i="12"/>
  <c r="AH125" i="12"/>
  <c r="AE148" i="12"/>
  <c r="AF92" i="12"/>
  <c r="AF146" i="12"/>
  <c r="AF147" i="12"/>
  <c r="AD157" i="12"/>
  <c r="AE154" i="12"/>
  <c r="AE155" i="12" s="1"/>
  <c r="AE51" i="9"/>
  <c r="AI64" i="8"/>
  <c r="AH95" i="8"/>
  <c r="AE150" i="12" l="1"/>
  <c r="AG116" i="12"/>
  <c r="AG115" i="12"/>
  <c r="AH72" i="12"/>
  <c r="AG92" i="12"/>
  <c r="AF148" i="12"/>
  <c r="AH101" i="12"/>
  <c r="AH100" i="12"/>
  <c r="AH102" i="12"/>
  <c r="AH99" i="12"/>
  <c r="AE157" i="12"/>
  <c r="AE159" i="12" s="1"/>
  <c r="AG146" i="12"/>
  <c r="AG147" i="12"/>
  <c r="AG101" i="12"/>
  <c r="AG100" i="12"/>
  <c r="AG102" i="12"/>
  <c r="AG99" i="12"/>
  <c r="AG154" i="12" s="1"/>
  <c r="AG155" i="12" s="1"/>
  <c r="AF154" i="12"/>
  <c r="AF155" i="12" s="1"/>
  <c r="AF51" i="9"/>
  <c r="AJ64" i="8"/>
  <c r="AJ95" i="8" s="1"/>
  <c r="AI95" i="8"/>
  <c r="AG148" i="12" l="1"/>
  <c r="AG157" i="12" s="1"/>
  <c r="AF157" i="12"/>
  <c r="AF159" i="12" s="1"/>
  <c r="AJ72" i="12"/>
  <c r="AK88" i="12" s="1"/>
  <c r="AH88" i="12"/>
  <c r="AH115" i="12"/>
  <c r="AH116" i="12"/>
  <c r="AF150" i="12"/>
  <c r="AG51" i="9"/>
  <c r="AH51" i="9"/>
  <c r="D14" i="8"/>
  <c r="D45" i="12" s="1"/>
  <c r="C27" i="8"/>
  <c r="D27" i="8" s="1"/>
  <c r="D50" i="12" s="1"/>
  <c r="D68" i="12" l="1"/>
  <c r="D70" i="12" s="1"/>
  <c r="D69" i="12" s="1"/>
  <c r="AH154" i="12"/>
  <c r="AH155" i="12" s="1"/>
  <c r="AG150" i="12"/>
  <c r="AG159" i="12"/>
  <c r="AH89" i="12"/>
  <c r="AH90" i="12" s="1"/>
  <c r="AJ88" i="12"/>
  <c r="H59" i="9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H16" i="8" s="1"/>
  <c r="G13" i="8"/>
  <c r="G15" i="8" s="1"/>
  <c r="AJ84" i="9"/>
  <c r="AJ86" i="9"/>
  <c r="F14" i="8"/>
  <c r="F17" i="8" s="1"/>
  <c r="AH141" i="12" l="1"/>
  <c r="AH143" i="12" s="1"/>
  <c r="E91" i="12"/>
  <c r="AH92" i="12"/>
  <c r="F21" i="8"/>
  <c r="I59" i="9"/>
  <c r="H60" i="9"/>
  <c r="K62" i="9"/>
  <c r="L62" i="9" s="1"/>
  <c r="M62" i="9" s="1"/>
  <c r="N62" i="9" s="1"/>
  <c r="O62" i="9" s="1"/>
  <c r="P62" i="9" s="1"/>
  <c r="Q62" i="9" s="1"/>
  <c r="R62" i="9" s="1"/>
  <c r="S62" i="9" s="1"/>
  <c r="T62" i="9" s="1"/>
  <c r="U62" i="9" s="1"/>
  <c r="V62" i="9" s="1"/>
  <c r="W62" i="9" s="1"/>
  <c r="X62" i="9" s="1"/>
  <c r="Y62" i="9" s="1"/>
  <c r="Z62" i="9" s="1"/>
  <c r="AA62" i="9" s="1"/>
  <c r="AB62" i="9" s="1"/>
  <c r="AC62" i="9" s="1"/>
  <c r="AD62" i="9" s="1"/>
  <c r="AE62" i="9" s="1"/>
  <c r="AF62" i="9" s="1"/>
  <c r="AG62" i="9" s="1"/>
  <c r="AH62" i="9" s="1"/>
  <c r="D138" i="9"/>
  <c r="E138" i="9" s="1"/>
  <c r="F138" i="9" s="1"/>
  <c r="G138" i="9" s="1"/>
  <c r="H138" i="9" s="1"/>
  <c r="I138" i="9" s="1"/>
  <c r="J138" i="9" s="1"/>
  <c r="K138" i="9" s="1"/>
  <c r="L138" i="9" s="1"/>
  <c r="M138" i="9" s="1"/>
  <c r="N138" i="9" s="1"/>
  <c r="O138" i="9" s="1"/>
  <c r="P138" i="9" s="1"/>
  <c r="Q138" i="9" s="1"/>
  <c r="R138" i="9" s="1"/>
  <c r="S138" i="9" s="1"/>
  <c r="T138" i="9" s="1"/>
  <c r="U138" i="9" s="1"/>
  <c r="V138" i="9" s="1"/>
  <c r="W138" i="9" s="1"/>
  <c r="X138" i="9" s="1"/>
  <c r="Y138" i="9" s="1"/>
  <c r="Z138" i="9" s="1"/>
  <c r="AA138" i="9" s="1"/>
  <c r="AB138" i="9" s="1"/>
  <c r="AC138" i="9" s="1"/>
  <c r="AD138" i="9" s="1"/>
  <c r="AE138" i="9" s="1"/>
  <c r="AF138" i="9" s="1"/>
  <c r="AG138" i="9" s="1"/>
  <c r="AH138" i="9" s="1"/>
  <c r="AH146" i="12" l="1"/>
  <c r="AH147" i="12"/>
  <c r="H63" i="9"/>
  <c r="D46" i="9"/>
  <c r="D54" i="9" s="1"/>
  <c r="J59" i="9"/>
  <c r="I60" i="9"/>
  <c r="I62" i="9"/>
  <c r="O67" i="9"/>
  <c r="P67" i="9" s="1"/>
  <c r="Q67" i="9" s="1"/>
  <c r="R67" i="9" s="1"/>
  <c r="S67" i="9" s="1"/>
  <c r="T67" i="9" s="1"/>
  <c r="U67" i="9" s="1"/>
  <c r="V67" i="9" s="1"/>
  <c r="W67" i="9" s="1"/>
  <c r="X67" i="9" s="1"/>
  <c r="Y67" i="9" s="1"/>
  <c r="Z67" i="9" s="1"/>
  <c r="AA67" i="9" s="1"/>
  <c r="AB67" i="9" s="1"/>
  <c r="AC67" i="9" s="1"/>
  <c r="AD67" i="9" s="1"/>
  <c r="AE67" i="9" s="1"/>
  <c r="AF67" i="9" s="1"/>
  <c r="AG67" i="9" s="1"/>
  <c r="AH67" i="9" s="1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F12" i="8"/>
  <c r="AH148" i="12" l="1"/>
  <c r="I63" i="9"/>
  <c r="K59" i="9"/>
  <c r="J60" i="9"/>
  <c r="AH157" i="12" l="1"/>
  <c r="F149" i="12"/>
  <c r="AH150" i="12"/>
  <c r="J63" i="9"/>
  <c r="L59" i="9"/>
  <c r="K60" i="9"/>
  <c r="B58" i="8"/>
  <c r="F158" i="12" l="1"/>
  <c r="AH159" i="12"/>
  <c r="K63" i="9"/>
  <c r="M59" i="9"/>
  <c r="L60" i="9"/>
  <c r="L63" i="9" l="1"/>
  <c r="N59" i="9"/>
  <c r="M60" i="9"/>
  <c r="M63" i="9" l="1"/>
  <c r="O59" i="9"/>
  <c r="N60" i="9"/>
  <c r="A14" i="8"/>
  <c r="N63" i="9" l="1"/>
  <c r="P59" i="9"/>
  <c r="O60" i="9"/>
  <c r="A28" i="8"/>
  <c r="O63" i="9" l="1"/>
  <c r="Q59" i="9"/>
  <c r="P60" i="9"/>
  <c r="A15" i="8"/>
  <c r="A29" i="8"/>
  <c r="P63" i="9" l="1"/>
  <c r="R59" i="9"/>
  <c r="Q60" i="9"/>
  <c r="A30" i="8"/>
  <c r="A16" i="8"/>
  <c r="A31" i="8"/>
  <c r="Q63" i="9" l="1"/>
  <c r="S59" i="9"/>
  <c r="R60" i="9"/>
  <c r="A32" i="8"/>
  <c r="R63" i="9" l="1"/>
  <c r="T59" i="9"/>
  <c r="S60" i="9"/>
  <c r="A33" i="8"/>
  <c r="S63" i="9" l="1"/>
  <c r="U59" i="9"/>
  <c r="T60" i="9"/>
  <c r="A34" i="8"/>
  <c r="C15" i="9"/>
  <c r="T63" i="9" l="1"/>
  <c r="V59" i="9"/>
  <c r="U60" i="9"/>
  <c r="A35" i="8"/>
  <c r="U63" i="9" l="1"/>
  <c r="W59" i="9"/>
  <c r="V60" i="9"/>
  <c r="A36" i="8"/>
  <c r="V63" i="9" l="1"/>
  <c r="X59" i="9"/>
  <c r="W60" i="9"/>
  <c r="A37" i="8"/>
  <c r="D41" i="9"/>
  <c r="W63" i="9" l="1"/>
  <c r="Y59" i="9"/>
  <c r="X60" i="9"/>
  <c r="A38" i="8"/>
  <c r="E40" i="9"/>
  <c r="X63" i="9" l="1"/>
  <c r="Z59" i="9"/>
  <c r="Y60" i="9"/>
  <c r="A39" i="8"/>
  <c r="F40" i="9"/>
  <c r="E41" i="9"/>
  <c r="Y63" i="9" l="1"/>
  <c r="AA59" i="9"/>
  <c r="Z60" i="9"/>
  <c r="A40" i="8"/>
  <c r="G40" i="9"/>
  <c r="F41" i="9"/>
  <c r="Z63" i="9" l="1"/>
  <c r="AB59" i="9"/>
  <c r="AA60" i="9"/>
  <c r="A41" i="8"/>
  <c r="H40" i="9"/>
  <c r="G41" i="9"/>
  <c r="AA63" i="9" l="1"/>
  <c r="AC59" i="9"/>
  <c r="AB60" i="9"/>
  <c r="A42" i="8"/>
  <c r="I40" i="9"/>
  <c r="H41" i="9"/>
  <c r="AB63" i="9" l="1"/>
  <c r="AD59" i="9"/>
  <c r="AC60" i="9"/>
  <c r="A43" i="8"/>
  <c r="D45" i="9"/>
  <c r="E37" i="9"/>
  <c r="F34" i="9"/>
  <c r="J40" i="9"/>
  <c r="I41" i="9"/>
  <c r="D42" i="9"/>
  <c r="AC63" i="9" l="1"/>
  <c r="E76" i="9"/>
  <c r="E120" i="9"/>
  <c r="E39" i="9"/>
  <c r="F39" i="9" s="1"/>
  <c r="G39" i="9" s="1"/>
  <c r="H39" i="9" s="1"/>
  <c r="I39" i="9" s="1"/>
  <c r="J39" i="9" s="1"/>
  <c r="K39" i="9" s="1"/>
  <c r="L39" i="9" s="1"/>
  <c r="M39" i="9" s="1"/>
  <c r="N39" i="9" s="1"/>
  <c r="O39" i="9" s="1"/>
  <c r="P39" i="9" s="1"/>
  <c r="Q39" i="9" s="1"/>
  <c r="R39" i="9" s="1"/>
  <c r="S39" i="9" s="1"/>
  <c r="T39" i="9" s="1"/>
  <c r="U39" i="9" s="1"/>
  <c r="V39" i="9" s="1"/>
  <c r="W39" i="9" s="1"/>
  <c r="X39" i="9" s="1"/>
  <c r="Y39" i="9" s="1"/>
  <c r="Z39" i="9" s="1"/>
  <c r="AA39" i="9" s="1"/>
  <c r="AB39" i="9" s="1"/>
  <c r="AC39" i="9" s="1"/>
  <c r="AD39" i="9" s="1"/>
  <c r="AE39" i="9" s="1"/>
  <c r="AF39" i="9" s="1"/>
  <c r="AG39" i="9" s="1"/>
  <c r="AH39" i="9" s="1"/>
  <c r="AE59" i="9"/>
  <c r="AD60" i="9"/>
  <c r="D15" i="8"/>
  <c r="E45" i="12" s="1"/>
  <c r="C65" i="8"/>
  <c r="D65" i="8" s="1"/>
  <c r="A44" i="8"/>
  <c r="D50" i="9"/>
  <c r="D68" i="9" s="1"/>
  <c r="D70" i="9" s="1"/>
  <c r="D72" i="9" s="1"/>
  <c r="C28" i="8"/>
  <c r="D28" i="8" s="1"/>
  <c r="E50" i="12" s="1"/>
  <c r="E42" i="9"/>
  <c r="F37" i="9"/>
  <c r="G34" i="9"/>
  <c r="K40" i="9"/>
  <c r="J41" i="9"/>
  <c r="F45" i="12" l="1"/>
  <c r="E68" i="12"/>
  <c r="E70" i="12" s="1"/>
  <c r="E69" i="12" s="1"/>
  <c r="AD63" i="9"/>
  <c r="F110" i="9"/>
  <c r="F81" i="9"/>
  <c r="F120" i="9"/>
  <c r="F109" i="9"/>
  <c r="F108" i="9"/>
  <c r="E45" i="9"/>
  <c r="F45" i="9" s="1"/>
  <c r="G45" i="9" s="1"/>
  <c r="H45" i="9" s="1"/>
  <c r="I45" i="9" s="1"/>
  <c r="J45" i="9" s="1"/>
  <c r="K45" i="9" s="1"/>
  <c r="L45" i="9" s="1"/>
  <c r="M45" i="9" s="1"/>
  <c r="N45" i="9" s="1"/>
  <c r="O45" i="9" s="1"/>
  <c r="P45" i="9" s="1"/>
  <c r="Q45" i="9" s="1"/>
  <c r="R45" i="9" s="1"/>
  <c r="S45" i="9" s="1"/>
  <c r="T45" i="9" s="1"/>
  <c r="U45" i="9" s="1"/>
  <c r="V45" i="9" s="1"/>
  <c r="W45" i="9" s="1"/>
  <c r="X45" i="9" s="1"/>
  <c r="Y45" i="9" s="1"/>
  <c r="Z45" i="9" s="1"/>
  <c r="AA45" i="9" s="1"/>
  <c r="AB45" i="9" s="1"/>
  <c r="AC45" i="9" s="1"/>
  <c r="AD45" i="9" s="1"/>
  <c r="AE45" i="9" s="1"/>
  <c r="AF45" i="9" s="1"/>
  <c r="AG45" i="9" s="1"/>
  <c r="AH45" i="9" s="1"/>
  <c r="F76" i="9"/>
  <c r="F50" i="9"/>
  <c r="D69" i="9"/>
  <c r="AF59" i="9"/>
  <c r="AE60" i="9"/>
  <c r="D16" i="8"/>
  <c r="C66" i="8"/>
  <c r="D66" i="8" s="1"/>
  <c r="A45" i="8"/>
  <c r="E50" i="9"/>
  <c r="C29" i="8"/>
  <c r="D29" i="8" s="1"/>
  <c r="F42" i="9"/>
  <c r="G37" i="9"/>
  <c r="H34" i="9"/>
  <c r="L40" i="9"/>
  <c r="K41" i="9"/>
  <c r="G45" i="12" l="1"/>
  <c r="F68" i="12"/>
  <c r="F70" i="12" s="1"/>
  <c r="F69" i="12" s="1"/>
  <c r="F126" i="9"/>
  <c r="F125" i="9"/>
  <c r="F124" i="9"/>
  <c r="G110" i="9"/>
  <c r="G81" i="9"/>
  <c r="G109" i="9"/>
  <c r="G120" i="9"/>
  <c r="G108" i="9"/>
  <c r="E68" i="9"/>
  <c r="E70" i="9" s="1"/>
  <c r="E72" i="9" s="1"/>
  <c r="AE63" i="9"/>
  <c r="G76" i="9"/>
  <c r="G50" i="9"/>
  <c r="AG59" i="9"/>
  <c r="AF60" i="9"/>
  <c r="C67" i="8"/>
  <c r="D67" i="8" s="1"/>
  <c r="A46" i="8"/>
  <c r="F68" i="9"/>
  <c r="F70" i="9" s="1"/>
  <c r="F72" i="9" s="1"/>
  <c r="C30" i="8"/>
  <c r="D30" i="8" s="1"/>
  <c r="H37" i="9"/>
  <c r="G42" i="9"/>
  <c r="I34" i="9"/>
  <c r="M40" i="9"/>
  <c r="L41" i="9"/>
  <c r="H45" i="12" l="1"/>
  <c r="G68" i="12"/>
  <c r="G70" i="12" s="1"/>
  <c r="G69" i="12" s="1"/>
  <c r="G125" i="9"/>
  <c r="G124" i="9"/>
  <c r="G126" i="9"/>
  <c r="AF63" i="9"/>
  <c r="H120" i="9"/>
  <c r="H81" i="9"/>
  <c r="H110" i="9"/>
  <c r="H109" i="9"/>
  <c r="H108" i="9"/>
  <c r="E69" i="9"/>
  <c r="H76" i="9"/>
  <c r="F69" i="9"/>
  <c r="H50" i="9"/>
  <c r="H61" i="9"/>
  <c r="AH59" i="9"/>
  <c r="AG60" i="9"/>
  <c r="C68" i="8"/>
  <c r="D68" i="8" s="1"/>
  <c r="A47" i="8"/>
  <c r="G68" i="9"/>
  <c r="G70" i="9" s="1"/>
  <c r="G72" i="9" s="1"/>
  <c r="C31" i="8"/>
  <c r="D31" i="8" s="1"/>
  <c r="H42" i="9"/>
  <c r="I37" i="9"/>
  <c r="J34" i="9"/>
  <c r="N40" i="9"/>
  <c r="M41" i="9"/>
  <c r="H68" i="12" l="1"/>
  <c r="H70" i="12" s="1"/>
  <c r="H69" i="12" s="1"/>
  <c r="I45" i="12"/>
  <c r="H126" i="9"/>
  <c r="H125" i="9"/>
  <c r="H124" i="9"/>
  <c r="F116" i="9"/>
  <c r="F115" i="9"/>
  <c r="AG63" i="9"/>
  <c r="I120" i="9"/>
  <c r="I81" i="9"/>
  <c r="I109" i="9"/>
  <c r="I108" i="9"/>
  <c r="I110" i="9"/>
  <c r="I76" i="9"/>
  <c r="G69" i="9"/>
  <c r="AH60" i="9"/>
  <c r="AJ59" i="9"/>
  <c r="I50" i="9"/>
  <c r="I61" i="9"/>
  <c r="C69" i="8"/>
  <c r="D69" i="8" s="1"/>
  <c r="A48" i="8"/>
  <c r="AJ82" i="9"/>
  <c r="H68" i="9"/>
  <c r="H70" i="9" s="1"/>
  <c r="H72" i="9" s="1"/>
  <c r="C32" i="8"/>
  <c r="D32" i="8" s="1"/>
  <c r="J37" i="9"/>
  <c r="I42" i="9"/>
  <c r="K34" i="9"/>
  <c r="O40" i="9"/>
  <c r="N41" i="9"/>
  <c r="G26" i="8"/>
  <c r="I68" i="12" l="1"/>
  <c r="I70" i="12" s="1"/>
  <c r="I69" i="12" s="1"/>
  <c r="J45" i="12"/>
  <c r="I126" i="9"/>
  <c r="I125" i="9"/>
  <c r="I124" i="9"/>
  <c r="J120" i="9"/>
  <c r="J81" i="9"/>
  <c r="J109" i="9"/>
  <c r="J110" i="9"/>
  <c r="J108" i="9"/>
  <c r="G116" i="9"/>
  <c r="G115" i="9"/>
  <c r="AH63" i="9"/>
  <c r="AJ63" i="9" s="1"/>
  <c r="J76" i="9"/>
  <c r="H69" i="9"/>
  <c r="J50" i="9"/>
  <c r="J61" i="9"/>
  <c r="C70" i="8"/>
  <c r="D70" i="8" s="1"/>
  <c r="A49" i="8"/>
  <c r="I68" i="9"/>
  <c r="I70" i="9" s="1"/>
  <c r="I72" i="9" s="1"/>
  <c r="C33" i="8"/>
  <c r="D33" i="8" s="1"/>
  <c r="J42" i="9"/>
  <c r="G12" i="8"/>
  <c r="G14" i="8" s="1"/>
  <c r="G17" i="8" s="1"/>
  <c r="K37" i="9"/>
  <c r="L34" i="9"/>
  <c r="P40" i="9"/>
  <c r="O41" i="9"/>
  <c r="H26" i="8"/>
  <c r="H28" i="8" s="1"/>
  <c r="K45" i="12" l="1"/>
  <c r="J68" i="12"/>
  <c r="J70" i="12" s="1"/>
  <c r="J69" i="12" s="1"/>
  <c r="J124" i="9"/>
  <c r="J125" i="9"/>
  <c r="J126" i="9"/>
  <c r="H115" i="9"/>
  <c r="H116" i="9"/>
  <c r="K120" i="9"/>
  <c r="K81" i="9"/>
  <c r="K109" i="9"/>
  <c r="K108" i="9"/>
  <c r="K110" i="9"/>
  <c r="G21" i="8"/>
  <c r="K76" i="9"/>
  <c r="I69" i="9"/>
  <c r="K50" i="9"/>
  <c r="K61" i="9"/>
  <c r="C71" i="8"/>
  <c r="D71" i="8" s="1"/>
  <c r="A50" i="8"/>
  <c r="J68" i="9"/>
  <c r="J70" i="9" s="1"/>
  <c r="J72" i="9" s="1"/>
  <c r="C34" i="8"/>
  <c r="D34" i="8" s="1"/>
  <c r="K42" i="9"/>
  <c r="H12" i="8"/>
  <c r="L37" i="9"/>
  <c r="M34" i="9"/>
  <c r="Q40" i="9"/>
  <c r="Q41" i="9" s="1"/>
  <c r="P41" i="9"/>
  <c r="I26" i="8"/>
  <c r="K68" i="12" l="1"/>
  <c r="K70" i="12" s="1"/>
  <c r="K69" i="12" s="1"/>
  <c r="L45" i="12"/>
  <c r="K124" i="9"/>
  <c r="K125" i="9"/>
  <c r="K126" i="9"/>
  <c r="I116" i="9"/>
  <c r="I115" i="9"/>
  <c r="L120" i="9"/>
  <c r="L81" i="9"/>
  <c r="L109" i="9"/>
  <c r="L108" i="9"/>
  <c r="L110" i="9"/>
  <c r="E46" i="9"/>
  <c r="E54" i="9" s="1"/>
  <c r="L76" i="9"/>
  <c r="J69" i="9"/>
  <c r="L50" i="9"/>
  <c r="L61" i="9"/>
  <c r="C72" i="8"/>
  <c r="D72" i="8" s="1"/>
  <c r="A51" i="8"/>
  <c r="H15" i="8"/>
  <c r="H14" i="8"/>
  <c r="E32" i="8"/>
  <c r="K32" i="8" s="1"/>
  <c r="K68" i="9"/>
  <c r="K70" i="9" s="1"/>
  <c r="K72" i="9" s="1"/>
  <c r="C35" i="8"/>
  <c r="D35" i="8" s="1"/>
  <c r="L42" i="9"/>
  <c r="I28" i="8"/>
  <c r="I29" i="8"/>
  <c r="I12" i="8"/>
  <c r="I16" i="8" s="1"/>
  <c r="M37" i="9"/>
  <c r="N34" i="9"/>
  <c r="J26" i="8"/>
  <c r="M45" i="12" l="1"/>
  <c r="L68" i="12"/>
  <c r="L70" i="12" s="1"/>
  <c r="L69" i="12" s="1"/>
  <c r="L125" i="9"/>
  <c r="L126" i="9"/>
  <c r="L124" i="9"/>
  <c r="J116" i="9"/>
  <c r="J115" i="9"/>
  <c r="M120" i="9"/>
  <c r="M81" i="9"/>
  <c r="M108" i="9"/>
  <c r="M110" i="9"/>
  <c r="M109" i="9"/>
  <c r="M76" i="9"/>
  <c r="K69" i="9"/>
  <c r="C73" i="8"/>
  <c r="D73" i="8" s="1"/>
  <c r="M50" i="9"/>
  <c r="M61" i="9"/>
  <c r="H17" i="8"/>
  <c r="A52" i="8"/>
  <c r="I14" i="8"/>
  <c r="I15" i="8"/>
  <c r="E33" i="8"/>
  <c r="L33" i="8" s="1"/>
  <c r="L68" i="9"/>
  <c r="L70" i="9" s="1"/>
  <c r="L72" i="9" s="1"/>
  <c r="C36" i="8"/>
  <c r="D36" i="8" s="1"/>
  <c r="M42" i="9"/>
  <c r="J28" i="8"/>
  <c r="J29" i="8"/>
  <c r="J30" i="8"/>
  <c r="J12" i="8"/>
  <c r="J16" i="8" s="1"/>
  <c r="N37" i="9"/>
  <c r="O34" i="9"/>
  <c r="K26" i="8"/>
  <c r="N45" i="12" l="1"/>
  <c r="M68" i="12"/>
  <c r="M70" i="12" s="1"/>
  <c r="M69" i="12" s="1"/>
  <c r="M125" i="9"/>
  <c r="M126" i="9"/>
  <c r="M124" i="9"/>
  <c r="K115" i="9"/>
  <c r="K116" i="9"/>
  <c r="N120" i="9"/>
  <c r="N81" i="9"/>
  <c r="N109" i="9"/>
  <c r="N108" i="9"/>
  <c r="N110" i="9"/>
  <c r="H21" i="8"/>
  <c r="N76" i="9"/>
  <c r="L69" i="9"/>
  <c r="C74" i="8"/>
  <c r="D74" i="8" s="1"/>
  <c r="N50" i="9"/>
  <c r="N61" i="9"/>
  <c r="A53" i="8"/>
  <c r="I17" i="8"/>
  <c r="C37" i="8"/>
  <c r="D37" i="8" s="1"/>
  <c r="J15" i="8"/>
  <c r="J14" i="8"/>
  <c r="E34" i="8"/>
  <c r="M34" i="8" s="1"/>
  <c r="M68" i="9"/>
  <c r="M70" i="9" s="1"/>
  <c r="M72" i="9" s="1"/>
  <c r="K28" i="8"/>
  <c r="K29" i="8"/>
  <c r="K30" i="8"/>
  <c r="K31" i="8"/>
  <c r="K12" i="8"/>
  <c r="K16" i="8" s="1"/>
  <c r="O37" i="9"/>
  <c r="N42" i="9"/>
  <c r="P34" i="9"/>
  <c r="L26" i="8"/>
  <c r="O45" i="12" l="1"/>
  <c r="N68" i="12"/>
  <c r="N70" i="12" s="1"/>
  <c r="N69" i="12" s="1"/>
  <c r="L115" i="9"/>
  <c r="L116" i="9"/>
  <c r="N125" i="9"/>
  <c r="N126" i="9"/>
  <c r="N124" i="9"/>
  <c r="O120" i="9"/>
  <c r="O81" i="9"/>
  <c r="O108" i="9"/>
  <c r="O110" i="9"/>
  <c r="O109" i="9"/>
  <c r="I21" i="8"/>
  <c r="F46" i="9"/>
  <c r="F54" i="9" s="1"/>
  <c r="O76" i="9"/>
  <c r="M69" i="9"/>
  <c r="C75" i="8"/>
  <c r="D75" i="8" s="1"/>
  <c r="O50" i="9"/>
  <c r="O61" i="9"/>
  <c r="A54" i="8"/>
  <c r="J17" i="8"/>
  <c r="C38" i="8"/>
  <c r="D38" i="8" s="1"/>
  <c r="K15" i="8"/>
  <c r="K14" i="8"/>
  <c r="E35" i="8"/>
  <c r="N35" i="8" s="1"/>
  <c r="N68" i="9"/>
  <c r="N70" i="9" s="1"/>
  <c r="N72" i="9" s="1"/>
  <c r="O42" i="9"/>
  <c r="L28" i="8"/>
  <c r="L29" i="8"/>
  <c r="L30" i="8"/>
  <c r="L31" i="8"/>
  <c r="L32" i="8"/>
  <c r="L12" i="8"/>
  <c r="L16" i="8" s="1"/>
  <c r="P37" i="9"/>
  <c r="Q34" i="9"/>
  <c r="M26" i="8"/>
  <c r="P45" i="12" l="1"/>
  <c r="O68" i="12"/>
  <c r="O70" i="12" s="1"/>
  <c r="O69" i="12" s="1"/>
  <c r="O124" i="9"/>
  <c r="O126" i="9"/>
  <c r="O125" i="9"/>
  <c r="M116" i="9"/>
  <c r="M115" i="9"/>
  <c r="P120" i="9"/>
  <c r="P81" i="9"/>
  <c r="P109" i="9"/>
  <c r="P110" i="9"/>
  <c r="P108" i="9"/>
  <c r="F100" i="9"/>
  <c r="F101" i="9"/>
  <c r="F102" i="9"/>
  <c r="F99" i="9"/>
  <c r="J21" i="8"/>
  <c r="G46" i="9"/>
  <c r="G54" i="9" s="1"/>
  <c r="P76" i="9"/>
  <c r="N69" i="9"/>
  <c r="C76" i="8"/>
  <c r="D76" i="8" s="1"/>
  <c r="P50" i="9"/>
  <c r="P61" i="9"/>
  <c r="K17" i="8"/>
  <c r="A55" i="8"/>
  <c r="C39" i="8"/>
  <c r="D39" i="8" s="1"/>
  <c r="L15" i="8"/>
  <c r="L14" i="8"/>
  <c r="E36" i="8"/>
  <c r="O36" i="8" s="1"/>
  <c r="O68" i="9"/>
  <c r="O70" i="9" s="1"/>
  <c r="O72" i="9" s="1"/>
  <c r="P42" i="9"/>
  <c r="M28" i="8"/>
  <c r="M29" i="8"/>
  <c r="M30" i="8"/>
  <c r="M31" i="8"/>
  <c r="M32" i="8"/>
  <c r="M33" i="8"/>
  <c r="M12" i="8"/>
  <c r="M16" i="8" s="1"/>
  <c r="Q37" i="9"/>
  <c r="R34" i="9"/>
  <c r="N26" i="8"/>
  <c r="P68" i="12" l="1"/>
  <c r="P70" i="12" s="1"/>
  <c r="P69" i="12" s="1"/>
  <c r="Q45" i="12"/>
  <c r="P124" i="9"/>
  <c r="P126" i="9"/>
  <c r="P125" i="9"/>
  <c r="N116" i="9"/>
  <c r="N115" i="9"/>
  <c r="F154" i="9"/>
  <c r="F155" i="9" s="1"/>
  <c r="G100" i="9"/>
  <c r="G102" i="9"/>
  <c r="G99" i="9"/>
  <c r="G101" i="9"/>
  <c r="Q120" i="9"/>
  <c r="Q81" i="9"/>
  <c r="Q110" i="9"/>
  <c r="Q109" i="9"/>
  <c r="Q108" i="9"/>
  <c r="K21" i="8"/>
  <c r="H46" i="9"/>
  <c r="H54" i="9" s="1"/>
  <c r="Q76" i="9"/>
  <c r="O69" i="9"/>
  <c r="C77" i="8"/>
  <c r="D77" i="8" s="1"/>
  <c r="Q50" i="9"/>
  <c r="Q61" i="9"/>
  <c r="L17" i="8"/>
  <c r="A56" i="8"/>
  <c r="C40" i="8"/>
  <c r="D40" i="8" s="1"/>
  <c r="M15" i="8"/>
  <c r="M14" i="8"/>
  <c r="E37" i="8"/>
  <c r="P37" i="8" s="1"/>
  <c r="P68" i="9"/>
  <c r="P70" i="9" s="1"/>
  <c r="P72" i="9" s="1"/>
  <c r="N28" i="8"/>
  <c r="N29" i="8"/>
  <c r="N30" i="8"/>
  <c r="N31" i="8"/>
  <c r="N32" i="8"/>
  <c r="N33" i="8"/>
  <c r="N34" i="8"/>
  <c r="N12" i="8"/>
  <c r="N16" i="8" s="1"/>
  <c r="R37" i="9"/>
  <c r="Q42" i="9"/>
  <c r="S34" i="9"/>
  <c r="O26" i="8"/>
  <c r="Q68" i="12" l="1"/>
  <c r="Q70" i="12" s="1"/>
  <c r="Q69" i="12" s="1"/>
  <c r="R45" i="12"/>
  <c r="O116" i="9"/>
  <c r="O115" i="9"/>
  <c r="Q126" i="9"/>
  <c r="Q125" i="9"/>
  <c r="Q124" i="9"/>
  <c r="G154" i="9"/>
  <c r="G155" i="9" s="1"/>
  <c r="R120" i="9"/>
  <c r="R81" i="9"/>
  <c r="R108" i="9"/>
  <c r="R109" i="9"/>
  <c r="R110" i="9"/>
  <c r="H102" i="9"/>
  <c r="H99" i="9"/>
  <c r="H100" i="9"/>
  <c r="H101" i="9"/>
  <c r="I46" i="9"/>
  <c r="I54" i="9" s="1"/>
  <c r="L21" i="8"/>
  <c r="AJ42" i="9"/>
  <c r="R76" i="9"/>
  <c r="P69" i="9"/>
  <c r="C78" i="8"/>
  <c r="D78" i="8" s="1"/>
  <c r="R50" i="9"/>
  <c r="R61" i="9"/>
  <c r="M17" i="8"/>
  <c r="A57" i="8"/>
  <c r="C41" i="8"/>
  <c r="D41" i="8" s="1"/>
  <c r="N14" i="8"/>
  <c r="N15" i="8"/>
  <c r="E38" i="8"/>
  <c r="Q38" i="8" s="1"/>
  <c r="Q68" i="9"/>
  <c r="Q70" i="9" s="1"/>
  <c r="Q72" i="9" s="1"/>
  <c r="O28" i="8"/>
  <c r="O29" i="8"/>
  <c r="O30" i="8"/>
  <c r="O31" i="8"/>
  <c r="O32" i="8"/>
  <c r="O33" i="8"/>
  <c r="O34" i="8"/>
  <c r="O35" i="8"/>
  <c r="O12" i="8"/>
  <c r="O16" i="8" s="1"/>
  <c r="S37" i="9"/>
  <c r="T34" i="9"/>
  <c r="P26" i="8"/>
  <c r="S45" i="12" l="1"/>
  <c r="R68" i="12"/>
  <c r="R70" i="12" s="1"/>
  <c r="R69" i="12" s="1"/>
  <c r="P115" i="9"/>
  <c r="P116" i="9"/>
  <c r="R124" i="9"/>
  <c r="R126" i="9"/>
  <c r="R125" i="9"/>
  <c r="H154" i="9"/>
  <c r="H155" i="9" s="1"/>
  <c r="I99" i="9"/>
  <c r="I102" i="9"/>
  <c r="I100" i="9"/>
  <c r="I101" i="9"/>
  <c r="S120" i="9"/>
  <c r="S81" i="9"/>
  <c r="S109" i="9"/>
  <c r="S110" i="9"/>
  <c r="S108" i="9"/>
  <c r="J46" i="9"/>
  <c r="J54" i="9" s="1"/>
  <c r="M21" i="8"/>
  <c r="S76" i="9"/>
  <c r="Q69" i="9"/>
  <c r="C79" i="8"/>
  <c r="D79" i="8" s="1"/>
  <c r="S50" i="9"/>
  <c r="S61" i="9"/>
  <c r="N17" i="8"/>
  <c r="O14" i="8"/>
  <c r="O15" i="8"/>
  <c r="E39" i="8"/>
  <c r="R39" i="8" s="1"/>
  <c r="C42" i="8"/>
  <c r="D42" i="8" s="1"/>
  <c r="R68" i="9"/>
  <c r="R70" i="9" s="1"/>
  <c r="R72" i="9" s="1"/>
  <c r="P28" i="8"/>
  <c r="P29" i="8"/>
  <c r="P30" i="8"/>
  <c r="P31" i="8"/>
  <c r="P32" i="8"/>
  <c r="P33" i="8"/>
  <c r="P34" i="8"/>
  <c r="P35" i="8"/>
  <c r="P36" i="8"/>
  <c r="P12" i="8"/>
  <c r="P16" i="8" s="1"/>
  <c r="T37" i="9"/>
  <c r="U34" i="9"/>
  <c r="Q26" i="8"/>
  <c r="T45" i="12" l="1"/>
  <c r="S68" i="12"/>
  <c r="S70" i="12" s="1"/>
  <c r="S69" i="12" s="1"/>
  <c r="S126" i="9"/>
  <c r="S124" i="9"/>
  <c r="S125" i="9"/>
  <c r="Q116" i="9"/>
  <c r="Q115" i="9"/>
  <c r="T120" i="9"/>
  <c r="T81" i="9"/>
  <c r="T108" i="9"/>
  <c r="T110" i="9"/>
  <c r="T109" i="9"/>
  <c r="I154" i="9"/>
  <c r="I155" i="9" s="1"/>
  <c r="J101" i="9"/>
  <c r="J99" i="9"/>
  <c r="J102" i="9"/>
  <c r="J100" i="9"/>
  <c r="N21" i="8"/>
  <c r="K46" i="9"/>
  <c r="K54" i="9" s="1"/>
  <c r="T76" i="9"/>
  <c r="AJ76" i="9"/>
  <c r="R69" i="9"/>
  <c r="C80" i="8"/>
  <c r="D80" i="8" s="1"/>
  <c r="T50" i="9"/>
  <c r="T61" i="9"/>
  <c r="O17" i="8"/>
  <c r="P15" i="8"/>
  <c r="P14" i="8"/>
  <c r="Q12" i="8"/>
  <c r="Q16" i="8" s="1"/>
  <c r="E40" i="8"/>
  <c r="S40" i="8" s="1"/>
  <c r="S68" i="9"/>
  <c r="S70" i="9" s="1"/>
  <c r="S72" i="9" s="1"/>
  <c r="C43" i="8"/>
  <c r="D43" i="8" s="1"/>
  <c r="Q28" i="8"/>
  <c r="Q29" i="8"/>
  <c r="Q30" i="8"/>
  <c r="Q31" i="8"/>
  <c r="Q32" i="8"/>
  <c r="Q33" i="8"/>
  <c r="Q34" i="8"/>
  <c r="Q35" i="8"/>
  <c r="Q36" i="8"/>
  <c r="Q37" i="8"/>
  <c r="U37" i="9"/>
  <c r="V34" i="9"/>
  <c r="R26" i="8"/>
  <c r="R12" i="8" s="1"/>
  <c r="R16" i="8" s="1"/>
  <c r="U45" i="12" l="1"/>
  <c r="T68" i="12"/>
  <c r="T70" i="12" s="1"/>
  <c r="T69" i="12" s="1"/>
  <c r="T124" i="9"/>
  <c r="T126" i="9"/>
  <c r="T125" i="9"/>
  <c r="R115" i="9"/>
  <c r="R116" i="9"/>
  <c r="J154" i="9"/>
  <c r="J155" i="9" s="1"/>
  <c r="K101" i="9"/>
  <c r="K99" i="9"/>
  <c r="K100" i="9"/>
  <c r="K102" i="9"/>
  <c r="U81" i="9"/>
  <c r="U108" i="9"/>
  <c r="U109" i="9"/>
  <c r="U110" i="9"/>
  <c r="L46" i="9"/>
  <c r="L54" i="9" s="1"/>
  <c r="O21" i="8"/>
  <c r="S69" i="9"/>
  <c r="C81" i="8"/>
  <c r="D81" i="8" s="1"/>
  <c r="U50" i="9"/>
  <c r="U61" i="9"/>
  <c r="P17" i="8"/>
  <c r="Q15" i="8"/>
  <c r="Q14" i="8"/>
  <c r="R14" i="8"/>
  <c r="R15" i="8"/>
  <c r="E41" i="8"/>
  <c r="T41" i="8" s="1"/>
  <c r="T68" i="9"/>
  <c r="T70" i="9" s="1"/>
  <c r="T72" i="9" s="1"/>
  <c r="C44" i="8"/>
  <c r="D44" i="8" s="1"/>
  <c r="R38" i="8"/>
  <c r="R28" i="8"/>
  <c r="R29" i="8"/>
  <c r="R30" i="8"/>
  <c r="R31" i="8"/>
  <c r="R32" i="8"/>
  <c r="R33" i="8"/>
  <c r="R34" i="8"/>
  <c r="R35" i="8"/>
  <c r="R36" i="8"/>
  <c r="R37" i="8"/>
  <c r="V37" i="9"/>
  <c r="W34" i="9"/>
  <c r="S26" i="8"/>
  <c r="S12" i="8" s="1"/>
  <c r="S16" i="8" s="1"/>
  <c r="V45" i="12" l="1"/>
  <c r="U68" i="12"/>
  <c r="U70" i="12" s="1"/>
  <c r="U69" i="12" s="1"/>
  <c r="U125" i="9"/>
  <c r="U126" i="9"/>
  <c r="U124" i="9"/>
  <c r="S116" i="9"/>
  <c r="S115" i="9"/>
  <c r="K154" i="9"/>
  <c r="K155" i="9" s="1"/>
  <c r="L101" i="9"/>
  <c r="L99" i="9"/>
  <c r="L100" i="9"/>
  <c r="L102" i="9"/>
  <c r="V81" i="9"/>
  <c r="V110" i="9"/>
  <c r="V109" i="9"/>
  <c r="V108" i="9"/>
  <c r="M46" i="9"/>
  <c r="M54" i="9" s="1"/>
  <c r="P21" i="8"/>
  <c r="T69" i="9"/>
  <c r="C82" i="8"/>
  <c r="D82" i="8" s="1"/>
  <c r="V50" i="9"/>
  <c r="V61" i="9"/>
  <c r="Q17" i="8"/>
  <c r="R17" i="8"/>
  <c r="O47" i="9"/>
  <c r="S15" i="8"/>
  <c r="S14" i="8"/>
  <c r="E42" i="8"/>
  <c r="U42" i="8" s="1"/>
  <c r="N47" i="9"/>
  <c r="U68" i="9"/>
  <c r="U70" i="9" s="1"/>
  <c r="U72" i="9" s="1"/>
  <c r="C45" i="8"/>
  <c r="D45" i="8" s="1"/>
  <c r="S38" i="8"/>
  <c r="S39" i="8"/>
  <c r="S28" i="8"/>
  <c r="S29" i="8"/>
  <c r="S30" i="8"/>
  <c r="S31" i="8"/>
  <c r="S32" i="8"/>
  <c r="S33" i="8"/>
  <c r="S34" i="8"/>
  <c r="S35" i="8"/>
  <c r="S36" i="8"/>
  <c r="S37" i="8"/>
  <c r="W37" i="9"/>
  <c r="X34" i="9"/>
  <c r="T26" i="8"/>
  <c r="T12" i="8" s="1"/>
  <c r="T16" i="8" s="1"/>
  <c r="V68" i="12" l="1"/>
  <c r="V70" i="12" s="1"/>
  <c r="V69" i="12" s="1"/>
  <c r="W45" i="12"/>
  <c r="V124" i="9"/>
  <c r="V125" i="9"/>
  <c r="V126" i="9"/>
  <c r="T116" i="9"/>
  <c r="T115" i="9"/>
  <c r="L154" i="9"/>
  <c r="L155" i="9" s="1"/>
  <c r="W81" i="9"/>
  <c r="W110" i="9"/>
  <c r="W109" i="9"/>
  <c r="W108" i="9"/>
  <c r="M101" i="9"/>
  <c r="M99" i="9"/>
  <c r="M100" i="9"/>
  <c r="M102" i="9"/>
  <c r="N46" i="9"/>
  <c r="N54" i="9" s="1"/>
  <c r="R21" i="8"/>
  <c r="Q21" i="8"/>
  <c r="S17" i="8"/>
  <c r="U69" i="9"/>
  <c r="C83" i="8"/>
  <c r="D83" i="8" s="1"/>
  <c r="W50" i="9"/>
  <c r="W61" i="9"/>
  <c r="P47" i="9"/>
  <c r="T15" i="8"/>
  <c r="T14" i="8"/>
  <c r="E43" i="8"/>
  <c r="V43" i="8" s="1"/>
  <c r="V68" i="9"/>
  <c r="V70" i="9" s="1"/>
  <c r="V72" i="9" s="1"/>
  <c r="C46" i="8"/>
  <c r="D46" i="8" s="1"/>
  <c r="T38" i="8"/>
  <c r="T39" i="8"/>
  <c r="T40" i="8"/>
  <c r="T28" i="8"/>
  <c r="T29" i="8"/>
  <c r="T30" i="8"/>
  <c r="T31" i="8"/>
  <c r="T32" i="8"/>
  <c r="T33" i="8"/>
  <c r="T34" i="8"/>
  <c r="T35" i="8"/>
  <c r="T36" i="8"/>
  <c r="T37" i="8"/>
  <c r="X37" i="9"/>
  <c r="Y34" i="9"/>
  <c r="U26" i="8"/>
  <c r="W68" i="12" l="1"/>
  <c r="W70" i="12" s="1"/>
  <c r="W69" i="12" s="1"/>
  <c r="X45" i="12"/>
  <c r="U116" i="9"/>
  <c r="U115" i="9"/>
  <c r="W124" i="9"/>
  <c r="W125" i="9"/>
  <c r="W126" i="9"/>
  <c r="M154" i="9"/>
  <c r="M155" i="9" s="1"/>
  <c r="X81" i="9"/>
  <c r="X110" i="9"/>
  <c r="X109" i="9"/>
  <c r="X108" i="9"/>
  <c r="N101" i="9"/>
  <c r="N100" i="9"/>
  <c r="N99" i="9"/>
  <c r="N102" i="9"/>
  <c r="O46" i="9"/>
  <c r="O54" i="9" s="1"/>
  <c r="P46" i="9"/>
  <c r="P54" i="9" s="1"/>
  <c r="S21" i="8"/>
  <c r="Q47" i="9"/>
  <c r="V69" i="9"/>
  <c r="C84" i="8"/>
  <c r="D84" i="8" s="1"/>
  <c r="X50" i="9"/>
  <c r="X61" i="9"/>
  <c r="T17" i="8"/>
  <c r="R47" i="9"/>
  <c r="U27" i="8"/>
  <c r="U12" i="8"/>
  <c r="U16" i="8" s="1"/>
  <c r="E44" i="8"/>
  <c r="W44" i="8" s="1"/>
  <c r="W68" i="9"/>
  <c r="W70" i="9" s="1"/>
  <c r="W72" i="9" s="1"/>
  <c r="C47" i="8"/>
  <c r="D47" i="8" s="1"/>
  <c r="U38" i="8"/>
  <c r="U39" i="8"/>
  <c r="U40" i="8"/>
  <c r="U41" i="8"/>
  <c r="U28" i="8"/>
  <c r="U29" i="8"/>
  <c r="U30" i="8"/>
  <c r="U31" i="8"/>
  <c r="U32" i="8"/>
  <c r="U33" i="8"/>
  <c r="U34" i="8"/>
  <c r="U35" i="8"/>
  <c r="U36" i="8"/>
  <c r="U37" i="8"/>
  <c r="Y37" i="9"/>
  <c r="Z34" i="9"/>
  <c r="V26" i="8"/>
  <c r="V12" i="8" s="1"/>
  <c r="X68" i="12" l="1"/>
  <c r="X70" i="12" s="1"/>
  <c r="X69" i="12" s="1"/>
  <c r="Y45" i="12"/>
  <c r="X125" i="9"/>
  <c r="X124" i="9"/>
  <c r="X126" i="9"/>
  <c r="V116" i="9"/>
  <c r="V115" i="9"/>
  <c r="N154" i="9"/>
  <c r="N155" i="9" s="1"/>
  <c r="P99" i="9"/>
  <c r="P102" i="9"/>
  <c r="P101" i="9"/>
  <c r="P100" i="9"/>
  <c r="Y81" i="9"/>
  <c r="Y109" i="9"/>
  <c r="Y108" i="9"/>
  <c r="Y110" i="9"/>
  <c r="O99" i="9"/>
  <c r="O102" i="9"/>
  <c r="O101" i="9"/>
  <c r="O100" i="9"/>
  <c r="Q46" i="9"/>
  <c r="Q54" i="9" s="1"/>
  <c r="T21" i="8"/>
  <c r="W69" i="9"/>
  <c r="C85" i="8"/>
  <c r="D85" i="8" s="1"/>
  <c r="Y50" i="9"/>
  <c r="Y61" i="9"/>
  <c r="V16" i="8"/>
  <c r="V17" i="8" s="1"/>
  <c r="U15" i="8"/>
  <c r="V27" i="8"/>
  <c r="V28" i="8"/>
  <c r="E45" i="8"/>
  <c r="X45" i="8" s="1"/>
  <c r="X68" i="9"/>
  <c r="X70" i="9" s="1"/>
  <c r="X72" i="9" s="1"/>
  <c r="C48" i="8"/>
  <c r="D48" i="8" s="1"/>
  <c r="U58" i="8"/>
  <c r="V38" i="8"/>
  <c r="V39" i="8"/>
  <c r="V40" i="8"/>
  <c r="V41" i="8"/>
  <c r="V42" i="8"/>
  <c r="V29" i="8"/>
  <c r="V30" i="8"/>
  <c r="V31" i="8"/>
  <c r="V32" i="8"/>
  <c r="V33" i="8"/>
  <c r="V34" i="8"/>
  <c r="V35" i="8"/>
  <c r="V36" i="8"/>
  <c r="V37" i="8"/>
  <c r="Z37" i="9"/>
  <c r="AA34" i="9"/>
  <c r="W26" i="8"/>
  <c r="W12" i="8" s="1"/>
  <c r="Y68" i="12" l="1"/>
  <c r="Y70" i="12" s="1"/>
  <c r="Y69" i="12" s="1"/>
  <c r="Z45" i="12"/>
  <c r="Y125" i="9"/>
  <c r="Y124" i="9"/>
  <c r="Y126" i="9"/>
  <c r="W116" i="9"/>
  <c r="W115" i="9"/>
  <c r="Z81" i="9"/>
  <c r="Z109" i="9"/>
  <c r="Z108" i="9"/>
  <c r="Z110" i="9"/>
  <c r="Q99" i="9"/>
  <c r="Q102" i="9"/>
  <c r="Q100" i="9"/>
  <c r="Q101" i="9"/>
  <c r="P154" i="9"/>
  <c r="P155" i="9" s="1"/>
  <c r="O154" i="9"/>
  <c r="O155" i="9" s="1"/>
  <c r="R46" i="9"/>
  <c r="R54" i="9" s="1"/>
  <c r="X69" i="9"/>
  <c r="C86" i="8"/>
  <c r="D86" i="8" s="1"/>
  <c r="Z50" i="9"/>
  <c r="Z61" i="9"/>
  <c r="V21" i="8"/>
  <c r="T47" i="9"/>
  <c r="U17" i="8"/>
  <c r="W27" i="8"/>
  <c r="W28" i="8"/>
  <c r="W29" i="8"/>
  <c r="E46" i="8"/>
  <c r="Y46" i="8" s="1"/>
  <c r="S52" i="9"/>
  <c r="Y68" i="9"/>
  <c r="Y70" i="9" s="1"/>
  <c r="Y72" i="9" s="1"/>
  <c r="C49" i="8"/>
  <c r="D49" i="8" s="1"/>
  <c r="W38" i="8"/>
  <c r="W39" i="8"/>
  <c r="W40" i="8"/>
  <c r="W41" i="8"/>
  <c r="W42" i="8"/>
  <c r="W43" i="8"/>
  <c r="V58" i="8"/>
  <c r="W30" i="8"/>
  <c r="W31" i="8"/>
  <c r="W32" i="8"/>
  <c r="W33" i="8"/>
  <c r="W34" i="8"/>
  <c r="W35" i="8"/>
  <c r="W36" i="8"/>
  <c r="W37" i="8"/>
  <c r="AA37" i="9"/>
  <c r="AB34" i="9"/>
  <c r="X26" i="8"/>
  <c r="X12" i="8" s="1"/>
  <c r="AA45" i="12" l="1"/>
  <c r="Z68" i="12"/>
  <c r="Z70" i="12" s="1"/>
  <c r="Z69" i="12" s="1"/>
  <c r="Z125" i="9"/>
  <c r="Z124" i="9"/>
  <c r="Z126" i="9"/>
  <c r="X115" i="9"/>
  <c r="X116" i="9"/>
  <c r="R102" i="9"/>
  <c r="R99" i="9"/>
  <c r="R100" i="9"/>
  <c r="R101" i="9"/>
  <c r="Q154" i="9"/>
  <c r="Q155" i="9" s="1"/>
  <c r="AA81" i="9"/>
  <c r="AA109" i="9"/>
  <c r="AA108" i="9"/>
  <c r="AA110" i="9"/>
  <c r="U21" i="8"/>
  <c r="Y69" i="9"/>
  <c r="C87" i="8"/>
  <c r="D87" i="8" s="1"/>
  <c r="AA50" i="9"/>
  <c r="AA61" i="9"/>
  <c r="W21" i="8"/>
  <c r="T46" i="9"/>
  <c r="T54" i="9" s="1"/>
  <c r="S47" i="9"/>
  <c r="E19" i="8"/>
  <c r="X27" i="8"/>
  <c r="X28" i="8"/>
  <c r="X29" i="8"/>
  <c r="X30" i="8"/>
  <c r="E47" i="8"/>
  <c r="Z47" i="8" s="1"/>
  <c r="T52" i="9"/>
  <c r="Z68" i="9"/>
  <c r="Z70" i="9" s="1"/>
  <c r="Z72" i="9" s="1"/>
  <c r="C50" i="8"/>
  <c r="D50" i="8" s="1"/>
  <c r="X38" i="8"/>
  <c r="X39" i="8"/>
  <c r="X40" i="8"/>
  <c r="X41" i="8"/>
  <c r="X42" i="8"/>
  <c r="X43" i="8"/>
  <c r="X44" i="8"/>
  <c r="W58" i="8"/>
  <c r="X31" i="8"/>
  <c r="X32" i="8"/>
  <c r="X33" i="8"/>
  <c r="X34" i="8"/>
  <c r="X35" i="8"/>
  <c r="X36" i="8"/>
  <c r="X37" i="8"/>
  <c r="AB37" i="9"/>
  <c r="AC34" i="9"/>
  <c r="Y26" i="8"/>
  <c r="Y12" i="8" s="1"/>
  <c r="AB45" i="12" l="1"/>
  <c r="AA68" i="12"/>
  <c r="AA70" i="12" s="1"/>
  <c r="AA69" i="12" s="1"/>
  <c r="AA124" i="9"/>
  <c r="AA126" i="9"/>
  <c r="AA125" i="9"/>
  <c r="Y116" i="9"/>
  <c r="Y115" i="9"/>
  <c r="AB81" i="9"/>
  <c r="AB110" i="9"/>
  <c r="AB108" i="9"/>
  <c r="AB109" i="9"/>
  <c r="R154" i="9"/>
  <c r="R155" i="9" s="1"/>
  <c r="S46" i="9"/>
  <c r="S54" i="9" s="1"/>
  <c r="S55" i="9"/>
  <c r="S88" i="9" s="1"/>
  <c r="S89" i="9" s="1"/>
  <c r="T55" i="9"/>
  <c r="T88" i="9" s="1"/>
  <c r="T89" i="9" s="1"/>
  <c r="Z69" i="9"/>
  <c r="C88" i="8"/>
  <c r="D88" i="8" s="1"/>
  <c r="AB50" i="9"/>
  <c r="AB61" i="9"/>
  <c r="X21" i="8"/>
  <c r="U46" i="9"/>
  <c r="U54" i="9" s="1"/>
  <c r="Y27" i="8"/>
  <c r="Y28" i="8"/>
  <c r="Y29" i="8"/>
  <c r="Y30" i="8"/>
  <c r="Y31" i="8"/>
  <c r="E48" i="8"/>
  <c r="AA48" i="8" s="1"/>
  <c r="U52" i="9"/>
  <c r="AA68" i="9"/>
  <c r="AA70" i="9" s="1"/>
  <c r="AA72" i="9" s="1"/>
  <c r="C51" i="8"/>
  <c r="D51" i="8" s="1"/>
  <c r="X58" i="8"/>
  <c r="Y38" i="8"/>
  <c r="Y39" i="8"/>
  <c r="Y40" i="8"/>
  <c r="Y41" i="8"/>
  <c r="Y42" i="8"/>
  <c r="Y43" i="8"/>
  <c r="Y44" i="8"/>
  <c r="Y45" i="8"/>
  <c r="Y32" i="8"/>
  <c r="Y33" i="8"/>
  <c r="Y34" i="8"/>
  <c r="Y35" i="8"/>
  <c r="Y36" i="8"/>
  <c r="Y37" i="8"/>
  <c r="AC37" i="9"/>
  <c r="AD34" i="9"/>
  <c r="Z26" i="8"/>
  <c r="Z12" i="8" s="1"/>
  <c r="AB68" i="12" l="1"/>
  <c r="AB70" i="12" s="1"/>
  <c r="AB69" i="12" s="1"/>
  <c r="AC45" i="12"/>
  <c r="AB125" i="9"/>
  <c r="AB124" i="9"/>
  <c r="AB126" i="9"/>
  <c r="Z116" i="9"/>
  <c r="Z115" i="9"/>
  <c r="U99" i="9"/>
  <c r="U101" i="9"/>
  <c r="U100" i="9"/>
  <c r="U102" i="9"/>
  <c r="S102" i="9"/>
  <c r="S100" i="9"/>
  <c r="S99" i="9"/>
  <c r="S101" i="9"/>
  <c r="T101" i="9"/>
  <c r="T99" i="9"/>
  <c r="T102" i="9"/>
  <c r="AC81" i="9"/>
  <c r="AC110" i="9"/>
  <c r="AC109" i="9"/>
  <c r="AC108" i="9"/>
  <c r="T100" i="9"/>
  <c r="U55" i="9"/>
  <c r="U88" i="9" s="1"/>
  <c r="U89" i="9" s="1"/>
  <c r="AA69" i="9"/>
  <c r="C89" i="8"/>
  <c r="D89" i="8" s="1"/>
  <c r="AC50" i="9"/>
  <c r="AC61" i="9"/>
  <c r="Y21" i="8"/>
  <c r="V46" i="9"/>
  <c r="V54" i="9" s="1"/>
  <c r="T90" i="9"/>
  <c r="T141" i="9" s="1"/>
  <c r="T143" i="9" s="1"/>
  <c r="T147" i="9" s="1"/>
  <c r="Z28" i="8"/>
  <c r="Z29" i="8"/>
  <c r="Z30" i="8"/>
  <c r="Z31" i="8"/>
  <c r="Z32" i="8"/>
  <c r="E49" i="8"/>
  <c r="AB49" i="8" s="1"/>
  <c r="V52" i="9"/>
  <c r="AB68" i="9"/>
  <c r="AB70" i="9" s="1"/>
  <c r="AB72" i="9" s="1"/>
  <c r="C52" i="8"/>
  <c r="D52" i="8" s="1"/>
  <c r="Y58" i="8"/>
  <c r="Z38" i="8"/>
  <c r="Z39" i="8"/>
  <c r="Z40" i="8"/>
  <c r="Z41" i="8"/>
  <c r="Z42" i="8"/>
  <c r="Z43" i="8"/>
  <c r="Z44" i="8"/>
  <c r="Z45" i="8"/>
  <c r="Z46" i="8"/>
  <c r="Z33" i="8"/>
  <c r="Z34" i="8"/>
  <c r="Z35" i="8"/>
  <c r="Z36" i="8"/>
  <c r="Z37" i="8"/>
  <c r="AD37" i="9"/>
  <c r="AE34" i="9"/>
  <c r="AA26" i="8"/>
  <c r="AA12" i="8" s="1"/>
  <c r="AD45" i="12" l="1"/>
  <c r="AC68" i="12"/>
  <c r="AC70" i="12" s="1"/>
  <c r="AC69" i="12" s="1"/>
  <c r="S154" i="9"/>
  <c r="U154" i="9"/>
  <c r="U155" i="9" s="1"/>
  <c r="AC126" i="9"/>
  <c r="AC125" i="9"/>
  <c r="AC124" i="9"/>
  <c r="T154" i="9"/>
  <c r="T155" i="9" s="1"/>
  <c r="AA116" i="9"/>
  <c r="AA115" i="9"/>
  <c r="V99" i="9"/>
  <c r="V101" i="9"/>
  <c r="V100" i="9"/>
  <c r="V102" i="9"/>
  <c r="AD81" i="9"/>
  <c r="AD110" i="9"/>
  <c r="AD109" i="9"/>
  <c r="AD108" i="9"/>
  <c r="S155" i="9"/>
  <c r="V55" i="9"/>
  <c r="V88" i="9" s="1"/>
  <c r="V89" i="9" s="1"/>
  <c r="T146" i="9"/>
  <c r="AB69" i="9"/>
  <c r="C90" i="8"/>
  <c r="D90" i="8" s="1"/>
  <c r="AD50" i="9"/>
  <c r="AD61" i="9"/>
  <c r="Z21" i="8"/>
  <c r="W46" i="9"/>
  <c r="W54" i="9" s="1"/>
  <c r="U90" i="9"/>
  <c r="U141" i="9" s="1"/>
  <c r="U143" i="9" s="1"/>
  <c r="U147" i="9" s="1"/>
  <c r="AA29" i="8"/>
  <c r="AA30" i="8"/>
  <c r="AA31" i="8"/>
  <c r="AA32" i="8"/>
  <c r="AA33" i="8"/>
  <c r="E50" i="8"/>
  <c r="AC50" i="8" s="1"/>
  <c r="W52" i="9"/>
  <c r="AC68" i="9"/>
  <c r="AC70" i="9" s="1"/>
  <c r="AC72" i="9" s="1"/>
  <c r="C53" i="8"/>
  <c r="D53" i="8" s="1"/>
  <c r="AA38" i="8"/>
  <c r="AA39" i="8"/>
  <c r="AA40" i="8"/>
  <c r="AA41" i="8"/>
  <c r="AA42" i="8"/>
  <c r="AA43" i="8"/>
  <c r="AA44" i="8"/>
  <c r="AA45" i="8"/>
  <c r="AA46" i="8"/>
  <c r="AA47" i="8"/>
  <c r="Z58" i="8"/>
  <c r="AA34" i="8"/>
  <c r="AA35" i="8"/>
  <c r="AA36" i="8"/>
  <c r="AA37" i="8"/>
  <c r="AE37" i="9"/>
  <c r="AF34" i="9"/>
  <c r="AB26" i="8"/>
  <c r="AB12" i="8" s="1"/>
  <c r="AE45" i="12" l="1"/>
  <c r="AD68" i="12"/>
  <c r="AD70" i="12" s="1"/>
  <c r="AD69" i="12" s="1"/>
  <c r="AD126" i="9"/>
  <c r="AD125" i="9"/>
  <c r="AD124" i="9"/>
  <c r="AB116" i="9"/>
  <c r="AB115" i="9"/>
  <c r="W99" i="9"/>
  <c r="W101" i="9"/>
  <c r="W100" i="9"/>
  <c r="W102" i="9"/>
  <c r="AE81" i="9"/>
  <c r="AE109" i="9"/>
  <c r="AE110" i="9"/>
  <c r="AE108" i="9"/>
  <c r="V154" i="9"/>
  <c r="V155" i="9" s="1"/>
  <c r="W55" i="9"/>
  <c r="W88" i="9" s="1"/>
  <c r="W89" i="9" s="1"/>
  <c r="U146" i="9"/>
  <c r="T148" i="9"/>
  <c r="T157" i="9" s="1"/>
  <c r="AC69" i="9"/>
  <c r="C91" i="8"/>
  <c r="D91" i="8" s="1"/>
  <c r="AE50" i="9"/>
  <c r="AE61" i="9"/>
  <c r="X46" i="9"/>
  <c r="X54" i="9" s="1"/>
  <c r="AA21" i="8"/>
  <c r="V90" i="9"/>
  <c r="V141" i="9" s="1"/>
  <c r="V143" i="9" s="1"/>
  <c r="V147" i="9" s="1"/>
  <c r="AB30" i="8"/>
  <c r="AB31" i="8"/>
  <c r="AB32" i="8"/>
  <c r="AB33" i="8"/>
  <c r="AB34" i="8"/>
  <c r="E51" i="8"/>
  <c r="AD51" i="8" s="1"/>
  <c r="X52" i="9"/>
  <c r="AD68" i="9"/>
  <c r="AD70" i="9" s="1"/>
  <c r="AD72" i="9" s="1"/>
  <c r="C54" i="8"/>
  <c r="D54" i="8" s="1"/>
  <c r="AB38" i="8"/>
  <c r="AB39" i="8"/>
  <c r="AB40" i="8"/>
  <c r="AB41" i="8"/>
  <c r="AB42" i="8"/>
  <c r="AB43" i="8"/>
  <c r="AB44" i="8"/>
  <c r="AB45" i="8"/>
  <c r="AB46" i="8"/>
  <c r="AB47" i="8"/>
  <c r="AB48" i="8"/>
  <c r="AA58" i="8"/>
  <c r="AB35" i="8"/>
  <c r="AB36" i="8"/>
  <c r="AB37" i="8"/>
  <c r="AF37" i="9"/>
  <c r="AG34" i="9"/>
  <c r="AH34" i="9" s="1"/>
  <c r="AC26" i="8"/>
  <c r="AC12" i="8" s="1"/>
  <c r="AF45" i="12" l="1"/>
  <c r="AE68" i="12"/>
  <c r="AE70" i="12" s="1"/>
  <c r="AE69" i="12" s="1"/>
  <c r="AE126" i="9"/>
  <c r="AE125" i="9"/>
  <c r="AE124" i="9"/>
  <c r="AC115" i="9"/>
  <c r="AC116" i="9"/>
  <c r="X101" i="9"/>
  <c r="X100" i="9"/>
  <c r="X99" i="9"/>
  <c r="X102" i="9"/>
  <c r="W154" i="9"/>
  <c r="W155" i="9" s="1"/>
  <c r="AF81" i="9"/>
  <c r="AF110" i="9"/>
  <c r="AF109" i="9"/>
  <c r="AF108" i="9"/>
  <c r="X55" i="9"/>
  <c r="X88" i="9" s="1"/>
  <c r="X89" i="9" s="1"/>
  <c r="V146" i="9"/>
  <c r="U148" i="9"/>
  <c r="U157" i="9" s="1"/>
  <c r="AD69" i="9"/>
  <c r="C92" i="8"/>
  <c r="D92" i="8" s="1"/>
  <c r="AF50" i="9"/>
  <c r="AF61" i="9"/>
  <c r="Y46" i="9"/>
  <c r="Y54" i="9" s="1"/>
  <c r="AB21" i="8"/>
  <c r="W90" i="9"/>
  <c r="W141" i="9" s="1"/>
  <c r="W143" i="9" s="1"/>
  <c r="W147" i="9" s="1"/>
  <c r="AC31" i="8"/>
  <c r="AC32" i="8"/>
  <c r="AC33" i="8"/>
  <c r="AC34" i="8"/>
  <c r="AC35" i="8"/>
  <c r="E52" i="8"/>
  <c r="AE52" i="8" s="1"/>
  <c r="Y52" i="9"/>
  <c r="AE68" i="9"/>
  <c r="AE70" i="9" s="1"/>
  <c r="AE72" i="9" s="1"/>
  <c r="C55" i="8"/>
  <c r="D55" i="8" s="1"/>
  <c r="AC38" i="8"/>
  <c r="AC39" i="8"/>
  <c r="AC40" i="8"/>
  <c r="AC41" i="8"/>
  <c r="AC42" i="8"/>
  <c r="AC43" i="8"/>
  <c r="AC44" i="8"/>
  <c r="AC45" i="8"/>
  <c r="AC46" i="8"/>
  <c r="AC47" i="8"/>
  <c r="AC48" i="8"/>
  <c r="AC49" i="8"/>
  <c r="AB58" i="8"/>
  <c r="AC36" i="8"/>
  <c r="AC37" i="8"/>
  <c r="AG37" i="9"/>
  <c r="AD26" i="8"/>
  <c r="AD12" i="8" s="1"/>
  <c r="AG45" i="12" l="1"/>
  <c r="AF68" i="12"/>
  <c r="AF70" i="12" s="1"/>
  <c r="AF69" i="12" s="1"/>
  <c r="X154" i="9"/>
  <c r="X155" i="9" s="1"/>
  <c r="AD115" i="9"/>
  <c r="AD116" i="9"/>
  <c r="AF125" i="9"/>
  <c r="AF124" i="9"/>
  <c r="AF126" i="9"/>
  <c r="AG81" i="9"/>
  <c r="AG108" i="9"/>
  <c r="AG109" i="9"/>
  <c r="AG110" i="9"/>
  <c r="Y101" i="9"/>
  <c r="Y100" i="9"/>
  <c r="Y99" i="9"/>
  <c r="Y102" i="9"/>
  <c r="Y55" i="9"/>
  <c r="Y88" i="9" s="1"/>
  <c r="Y89" i="9" s="1"/>
  <c r="W146" i="9"/>
  <c r="V148" i="9"/>
  <c r="V157" i="9" s="1"/>
  <c r="AE69" i="9"/>
  <c r="C93" i="8"/>
  <c r="D93" i="8" s="1"/>
  <c r="AG50" i="9"/>
  <c r="AG61" i="9"/>
  <c r="AC21" i="8"/>
  <c r="Z46" i="9"/>
  <c r="Z54" i="9" s="1"/>
  <c r="X90" i="9"/>
  <c r="X141" i="9" s="1"/>
  <c r="X143" i="9" s="1"/>
  <c r="X147" i="9" s="1"/>
  <c r="AD32" i="8"/>
  <c r="AD33" i="8"/>
  <c r="AD34" i="8"/>
  <c r="AD35" i="8"/>
  <c r="AD36" i="8"/>
  <c r="E53" i="8"/>
  <c r="AF53" i="8" s="1"/>
  <c r="Z52" i="9"/>
  <c r="C56" i="8"/>
  <c r="D56" i="8" s="1"/>
  <c r="AF68" i="9"/>
  <c r="AF70" i="9" s="1"/>
  <c r="AF72" i="9" s="1"/>
  <c r="AC58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37" i="8"/>
  <c r="AH37" i="9"/>
  <c r="AE26" i="8"/>
  <c r="AE12" i="8" s="1"/>
  <c r="AG68" i="12" l="1"/>
  <c r="AG70" i="12" s="1"/>
  <c r="AG69" i="12" s="1"/>
  <c r="AH45" i="12"/>
  <c r="AH68" i="12" s="1"/>
  <c r="AH70" i="12" s="1"/>
  <c r="AH69" i="12" s="1"/>
  <c r="Y154" i="9"/>
  <c r="Y155" i="9" s="1"/>
  <c r="AG126" i="9"/>
  <c r="AG125" i="9"/>
  <c r="AG124" i="9"/>
  <c r="AE116" i="9"/>
  <c r="AE115" i="9"/>
  <c r="AH81" i="9"/>
  <c r="AH110" i="9"/>
  <c r="AH108" i="9"/>
  <c r="AH109" i="9"/>
  <c r="Z101" i="9"/>
  <c r="Z100" i="9"/>
  <c r="Z99" i="9"/>
  <c r="Z102" i="9"/>
  <c r="Z55" i="9"/>
  <c r="Z88" i="9" s="1"/>
  <c r="Z89" i="9" s="1"/>
  <c r="X146" i="9"/>
  <c r="W148" i="9"/>
  <c r="W157" i="9" s="1"/>
  <c r="AF69" i="9"/>
  <c r="AH50" i="9"/>
  <c r="AH61" i="9"/>
  <c r="AD21" i="8"/>
  <c r="AA46" i="9"/>
  <c r="AA54" i="9" s="1"/>
  <c r="C57" i="8"/>
  <c r="D57" i="8" s="1"/>
  <c r="C94" i="8"/>
  <c r="D94" i="8" s="1"/>
  <c r="Y90" i="9"/>
  <c r="Y141" i="9" s="1"/>
  <c r="Y143" i="9" s="1"/>
  <c r="Y147" i="9" s="1"/>
  <c r="AE33" i="8"/>
  <c r="AE34" i="8"/>
  <c r="AE35" i="8"/>
  <c r="AE36" i="8"/>
  <c r="AE37" i="8"/>
  <c r="E54" i="8"/>
  <c r="AG54" i="8" s="1"/>
  <c r="AA52" i="9"/>
  <c r="AG68" i="9"/>
  <c r="AG70" i="9" s="1"/>
  <c r="AG72" i="9" s="1"/>
  <c r="AD58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F26" i="8"/>
  <c r="AF12" i="8" s="1"/>
  <c r="Z154" i="9" l="1"/>
  <c r="Z155" i="9" s="1"/>
  <c r="AF116" i="9"/>
  <c r="AF115" i="9"/>
  <c r="AH125" i="9"/>
  <c r="AH124" i="9"/>
  <c r="AH126" i="9"/>
  <c r="AA100" i="9"/>
  <c r="AA99" i="9"/>
  <c r="AA102" i="9"/>
  <c r="AA101" i="9"/>
  <c r="AA55" i="9"/>
  <c r="AA88" i="9" s="1"/>
  <c r="AA89" i="9" s="1"/>
  <c r="Y146" i="9"/>
  <c r="X148" i="9"/>
  <c r="X157" i="9" s="1"/>
  <c r="AG69" i="9"/>
  <c r="AE21" i="8"/>
  <c r="AB46" i="9"/>
  <c r="AB54" i="9" s="1"/>
  <c r="Z90" i="9"/>
  <c r="Z141" i="9" s="1"/>
  <c r="Z143" i="9" s="1"/>
  <c r="Z147" i="9" s="1"/>
  <c r="AF34" i="8"/>
  <c r="AF35" i="8"/>
  <c r="AF36" i="8"/>
  <c r="AF37" i="8"/>
  <c r="AF38" i="8"/>
  <c r="E55" i="8"/>
  <c r="AH55" i="8" s="1"/>
  <c r="AH68" i="9"/>
  <c r="AH70" i="9" s="1"/>
  <c r="AH72" i="9" s="1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E58" i="8"/>
  <c r="AB52" i="9"/>
  <c r="AC52" i="9"/>
  <c r="AG26" i="8"/>
  <c r="AG12" i="8" s="1"/>
  <c r="AG116" i="9" l="1"/>
  <c r="AG115" i="9"/>
  <c r="AA154" i="9"/>
  <c r="AB101" i="9"/>
  <c r="AB99" i="9"/>
  <c r="AB102" i="9"/>
  <c r="AB100" i="9"/>
  <c r="AA155" i="9"/>
  <c r="AC55" i="9"/>
  <c r="AC88" i="9" s="1"/>
  <c r="AC89" i="9" s="1"/>
  <c r="AB55" i="9"/>
  <c r="AB88" i="9" s="1"/>
  <c r="AB89" i="9" s="1"/>
  <c r="AB90" i="9" s="1"/>
  <c r="AB141" i="9" s="1"/>
  <c r="AB143" i="9" s="1"/>
  <c r="AB147" i="9" s="1"/>
  <c r="Z146" i="9"/>
  <c r="Y148" i="9"/>
  <c r="Y157" i="9" s="1"/>
  <c r="AJ72" i="9"/>
  <c r="AH69" i="9"/>
  <c r="AF21" i="8"/>
  <c r="AC46" i="9"/>
  <c r="AC54" i="9" s="1"/>
  <c r="AA90" i="9"/>
  <c r="AA141" i="9" s="1"/>
  <c r="AA143" i="9" s="1"/>
  <c r="AA147" i="9" s="1"/>
  <c r="AG35" i="8"/>
  <c r="AG36" i="8"/>
  <c r="AG37" i="8"/>
  <c r="AG38" i="8"/>
  <c r="AG39" i="8"/>
  <c r="E56" i="8"/>
  <c r="AI56" i="8" s="1"/>
  <c r="AD52" i="9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F58" i="8"/>
  <c r="AH26" i="8"/>
  <c r="AH12" i="8" s="1"/>
  <c r="AH116" i="9" l="1"/>
  <c r="AH115" i="9"/>
  <c r="AC102" i="9"/>
  <c r="AC99" i="9"/>
  <c r="AC100" i="9"/>
  <c r="AC101" i="9"/>
  <c r="AB154" i="9"/>
  <c r="AB155" i="9" s="1"/>
  <c r="AD55" i="9"/>
  <c r="AD88" i="9" s="1"/>
  <c r="AD89" i="9" s="1"/>
  <c r="AB146" i="9"/>
  <c r="AA146" i="9"/>
  <c r="Z148" i="9"/>
  <c r="Z157" i="9" s="1"/>
  <c r="AG21" i="8"/>
  <c r="AD46" i="9"/>
  <c r="AD54" i="9" s="1"/>
  <c r="AC90" i="9"/>
  <c r="AC141" i="9" s="1"/>
  <c r="AC143" i="9" s="1"/>
  <c r="AC147" i="9" s="1"/>
  <c r="AH36" i="8"/>
  <c r="AH37" i="8"/>
  <c r="AH38" i="8"/>
  <c r="AH39" i="8"/>
  <c r="AH40" i="8"/>
  <c r="E57" i="8"/>
  <c r="AJ57" i="8" s="1"/>
  <c r="AE52" i="9"/>
  <c r="AE55" i="9" s="1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G58" i="8"/>
  <c r="AI26" i="8"/>
  <c r="AI12" i="8" s="1"/>
  <c r="AC154" i="9" l="1"/>
  <c r="AC155" i="9" s="1"/>
  <c r="AD102" i="9"/>
  <c r="AD100" i="9"/>
  <c r="AD99" i="9"/>
  <c r="AD101" i="9"/>
  <c r="AA148" i="9"/>
  <c r="AA157" i="9" s="1"/>
  <c r="AC146" i="9"/>
  <c r="AB148" i="9"/>
  <c r="AB157" i="9" s="1"/>
  <c r="AE46" i="9"/>
  <c r="AE54" i="9" s="1"/>
  <c r="AH21" i="8"/>
  <c r="AD90" i="9"/>
  <c r="AD141" i="9" s="1"/>
  <c r="AD143" i="9" s="1"/>
  <c r="AD147" i="9" s="1"/>
  <c r="AE88" i="9"/>
  <c r="AI37" i="8"/>
  <c r="AI38" i="8"/>
  <c r="AI39" i="8"/>
  <c r="AI40" i="8"/>
  <c r="AI41" i="8"/>
  <c r="AF52" i="9"/>
  <c r="AJ26" i="8"/>
  <c r="AJ12" i="8" s="1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H58" i="8"/>
  <c r="AD154" i="9" l="1"/>
  <c r="AD155" i="9" s="1"/>
  <c r="AE102" i="9"/>
  <c r="AE100" i="9"/>
  <c r="AE99" i="9"/>
  <c r="AE101" i="9"/>
  <c r="AF55" i="9"/>
  <c r="AF88" i="9" s="1"/>
  <c r="AF89" i="9" s="1"/>
  <c r="AD146" i="9"/>
  <c r="AC148" i="9"/>
  <c r="AC157" i="9" s="1"/>
  <c r="AF46" i="9"/>
  <c r="AF54" i="9" s="1"/>
  <c r="AI21" i="8"/>
  <c r="AE89" i="9"/>
  <c r="AJ38" i="8"/>
  <c r="AJ39" i="8"/>
  <c r="AJ40" i="8"/>
  <c r="AJ41" i="8"/>
  <c r="AJ42" i="8"/>
  <c r="AG52" i="9"/>
  <c r="AG55" i="9" s="1"/>
  <c r="AI58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J27" i="8"/>
  <c r="Q27" i="8"/>
  <c r="R27" i="8"/>
  <c r="T27" i="8"/>
  <c r="S27" i="8"/>
  <c r="K27" i="8"/>
  <c r="F58" i="8"/>
  <c r="G27" i="8"/>
  <c r="L27" i="8"/>
  <c r="H27" i="8"/>
  <c r="I27" i="8"/>
  <c r="M27" i="8"/>
  <c r="N27" i="8"/>
  <c r="O27" i="8"/>
  <c r="P27" i="8"/>
  <c r="AF102" i="9" l="1"/>
  <c r="AF100" i="9"/>
  <c r="AF99" i="9"/>
  <c r="AF101" i="9"/>
  <c r="AE154" i="9"/>
  <c r="AE155" i="9" s="1"/>
  <c r="AD148" i="9"/>
  <c r="AD157" i="9" s="1"/>
  <c r="AG46" i="9"/>
  <c r="AG54" i="9" s="1"/>
  <c r="AJ21" i="8"/>
  <c r="AF90" i="9"/>
  <c r="AF141" i="9" s="1"/>
  <c r="AF143" i="9" s="1"/>
  <c r="AF147" i="9" s="1"/>
  <c r="AE90" i="9"/>
  <c r="AE141" i="9" s="1"/>
  <c r="AE143" i="9" s="1"/>
  <c r="AE147" i="9" s="1"/>
  <c r="AG88" i="9"/>
  <c r="K47" i="9"/>
  <c r="D52" i="9"/>
  <c r="M47" i="9"/>
  <c r="F47" i="9"/>
  <c r="L47" i="9"/>
  <c r="AH52" i="9"/>
  <c r="H58" i="8"/>
  <c r="J58" i="8"/>
  <c r="L58" i="8"/>
  <c r="AJ58" i="8"/>
  <c r="G58" i="8"/>
  <c r="N58" i="8"/>
  <c r="K58" i="8"/>
  <c r="O58" i="8"/>
  <c r="M58" i="8"/>
  <c r="S58" i="8"/>
  <c r="I58" i="8"/>
  <c r="T58" i="8"/>
  <c r="Q58" i="8"/>
  <c r="P58" i="8"/>
  <c r="R58" i="8"/>
  <c r="AF154" i="9" l="1"/>
  <c r="AF155" i="9" s="1"/>
  <c r="AG100" i="9"/>
  <c r="AG99" i="9"/>
  <c r="AG101" i="9"/>
  <c r="AG102" i="9"/>
  <c r="AH46" i="9"/>
  <c r="AH54" i="9" s="1"/>
  <c r="AH55" i="9"/>
  <c r="AH88" i="9" s="1"/>
  <c r="AH89" i="9" s="1"/>
  <c r="AF146" i="9"/>
  <c r="AE146" i="9"/>
  <c r="AG89" i="9"/>
  <c r="D47" i="9"/>
  <c r="E47" i="9"/>
  <c r="J47" i="9"/>
  <c r="I47" i="9"/>
  <c r="H47" i="9"/>
  <c r="G47" i="9"/>
  <c r="I52" i="9"/>
  <c r="E52" i="9"/>
  <c r="N52" i="9"/>
  <c r="O52" i="9"/>
  <c r="J52" i="9"/>
  <c r="P52" i="9"/>
  <c r="P55" i="9" s="1"/>
  <c r="L52" i="9"/>
  <c r="R52" i="9"/>
  <c r="G52" i="9"/>
  <c r="Q52" i="9"/>
  <c r="H52" i="9"/>
  <c r="K52" i="9"/>
  <c r="K55" i="9" s="1"/>
  <c r="M52" i="9"/>
  <c r="M55" i="9" s="1"/>
  <c r="F52" i="9"/>
  <c r="F55" i="9" s="1"/>
  <c r="AH99" i="9" l="1"/>
  <c r="AH100" i="9"/>
  <c r="AH101" i="9"/>
  <c r="AH102" i="9"/>
  <c r="AG154" i="9"/>
  <c r="AG155" i="9" s="1"/>
  <c r="H55" i="9"/>
  <c r="H88" i="9" s="1"/>
  <c r="H89" i="9" s="1"/>
  <c r="I55" i="9"/>
  <c r="I88" i="9" s="1"/>
  <c r="I89" i="9" s="1"/>
  <c r="J55" i="9"/>
  <c r="J88" i="9" s="1"/>
  <c r="J89" i="9" s="1"/>
  <c r="E55" i="9"/>
  <c r="E88" i="9" s="1"/>
  <c r="E89" i="9" s="1"/>
  <c r="Q55" i="9"/>
  <c r="Q88" i="9" s="1"/>
  <c r="Q89" i="9" s="1"/>
  <c r="D55" i="9"/>
  <c r="D88" i="9" s="1"/>
  <c r="D89" i="9" s="1"/>
  <c r="O55" i="9"/>
  <c r="O88" i="9" s="1"/>
  <c r="O89" i="9" s="1"/>
  <c r="L55" i="9"/>
  <c r="L88" i="9" s="1"/>
  <c r="L89" i="9" s="1"/>
  <c r="R55" i="9"/>
  <c r="R88" i="9" s="1"/>
  <c r="R89" i="9" s="1"/>
  <c r="F88" i="9"/>
  <c r="F89" i="9" s="1"/>
  <c r="M88" i="9"/>
  <c r="M89" i="9" s="1"/>
  <c r="N55" i="9"/>
  <c r="N88" i="9" s="1"/>
  <c r="N89" i="9" s="1"/>
  <c r="K88" i="9"/>
  <c r="K89" i="9" s="1"/>
  <c r="G55" i="9"/>
  <c r="G88" i="9" s="1"/>
  <c r="AE148" i="9"/>
  <c r="AE157" i="9" s="1"/>
  <c r="AF148" i="9"/>
  <c r="AF157" i="9" s="1"/>
  <c r="AH90" i="9"/>
  <c r="AH141" i="9" s="1"/>
  <c r="AH143" i="9" s="1"/>
  <c r="AH147" i="9" s="1"/>
  <c r="AG90" i="9"/>
  <c r="AG141" i="9" s="1"/>
  <c r="AG143" i="9" s="1"/>
  <c r="AG147" i="9" s="1"/>
  <c r="P88" i="9"/>
  <c r="AJ52" i="9"/>
  <c r="AJ47" i="9"/>
  <c r="AH154" i="9" l="1"/>
  <c r="AH155" i="9" s="1"/>
  <c r="AG146" i="9"/>
  <c r="AH146" i="9"/>
  <c r="J90" i="9"/>
  <c r="J141" i="9" s="1"/>
  <c r="J143" i="9" s="1"/>
  <c r="J147" i="9" s="1"/>
  <c r="R90" i="9"/>
  <c r="R141" i="9" s="1"/>
  <c r="R143" i="9" s="1"/>
  <c r="R147" i="9" s="1"/>
  <c r="S90" i="9"/>
  <c r="S141" i="9" s="1"/>
  <c r="S143" i="9" s="1"/>
  <c r="S147" i="9" s="1"/>
  <c r="N90" i="9"/>
  <c r="N141" i="9" s="1"/>
  <c r="N143" i="9" s="1"/>
  <c r="N147" i="9" s="1"/>
  <c r="I90" i="9"/>
  <c r="I141" i="9" s="1"/>
  <c r="I143" i="9" s="1"/>
  <c r="I147" i="9" s="1"/>
  <c r="F90" i="9"/>
  <c r="L90" i="9"/>
  <c r="L141" i="9" s="1"/>
  <c r="L143" i="9" s="1"/>
  <c r="L147" i="9" s="1"/>
  <c r="M90" i="9"/>
  <c r="M141" i="9" s="1"/>
  <c r="M143" i="9" s="1"/>
  <c r="M147" i="9" s="1"/>
  <c r="K90" i="9"/>
  <c r="K141" i="9" s="1"/>
  <c r="K143" i="9" s="1"/>
  <c r="K147" i="9" s="1"/>
  <c r="O90" i="9"/>
  <c r="O141" i="9" s="1"/>
  <c r="O143" i="9" s="1"/>
  <c r="O147" i="9" s="1"/>
  <c r="AK88" i="9"/>
  <c r="G89" i="9"/>
  <c r="P89" i="9"/>
  <c r="N146" i="9" l="1"/>
  <c r="J146" i="9"/>
  <c r="O146" i="9"/>
  <c r="AH148" i="9"/>
  <c r="AH157" i="9" s="1"/>
  <c r="L146" i="9"/>
  <c r="S146" i="9"/>
  <c r="K146" i="9"/>
  <c r="I146" i="9"/>
  <c r="R146" i="9"/>
  <c r="M146" i="9"/>
  <c r="AG148" i="9"/>
  <c r="AG157" i="9" s="1"/>
  <c r="F92" i="9"/>
  <c r="F141" i="9"/>
  <c r="F143" i="9" s="1"/>
  <c r="F147" i="9" s="1"/>
  <c r="P90" i="9"/>
  <c r="P141" i="9" s="1"/>
  <c r="P143" i="9" s="1"/>
  <c r="P147" i="9" s="1"/>
  <c r="G90" i="9"/>
  <c r="Q90" i="9"/>
  <c r="Q141" i="9" s="1"/>
  <c r="Q143" i="9" s="1"/>
  <c r="Q147" i="9" s="1"/>
  <c r="H90" i="9"/>
  <c r="H141" i="9" s="1"/>
  <c r="H143" i="9" s="1"/>
  <c r="H147" i="9" s="1"/>
  <c r="AJ88" i="9"/>
  <c r="K148" i="9" l="1"/>
  <c r="K157" i="9" s="1"/>
  <c r="F146" i="9"/>
  <c r="P146" i="9"/>
  <c r="L148" i="9"/>
  <c r="L157" i="9" s="1"/>
  <c r="O148" i="9"/>
  <c r="O157" i="9" s="1"/>
  <c r="M148" i="9"/>
  <c r="M157" i="9" s="1"/>
  <c r="R148" i="9"/>
  <c r="R157" i="9" s="1"/>
  <c r="J148" i="9"/>
  <c r="J157" i="9" s="1"/>
  <c r="H146" i="9"/>
  <c r="I148" i="9"/>
  <c r="I157" i="9" s="1"/>
  <c r="S148" i="9"/>
  <c r="S157" i="9" s="1"/>
  <c r="Q146" i="9"/>
  <c r="N148" i="9"/>
  <c r="N157" i="9" s="1"/>
  <c r="G92" i="9"/>
  <c r="H92" i="9" s="1"/>
  <c r="I92" i="9" s="1"/>
  <c r="J92" i="9" s="1"/>
  <c r="K92" i="9" s="1"/>
  <c r="L92" i="9" s="1"/>
  <c r="M92" i="9" s="1"/>
  <c r="N92" i="9" s="1"/>
  <c r="O92" i="9" s="1"/>
  <c r="P92" i="9" s="1"/>
  <c r="Q92" i="9" s="1"/>
  <c r="R92" i="9" s="1"/>
  <c r="S92" i="9" s="1"/>
  <c r="T92" i="9" s="1"/>
  <c r="U92" i="9" s="1"/>
  <c r="V92" i="9" s="1"/>
  <c r="W92" i="9" s="1"/>
  <c r="X92" i="9" s="1"/>
  <c r="Y92" i="9" s="1"/>
  <c r="Z92" i="9" s="1"/>
  <c r="AA92" i="9" s="1"/>
  <c r="AB92" i="9" s="1"/>
  <c r="AC92" i="9" s="1"/>
  <c r="AD92" i="9" s="1"/>
  <c r="AE92" i="9" s="1"/>
  <c r="AF92" i="9" s="1"/>
  <c r="AG92" i="9" s="1"/>
  <c r="AH92" i="9" s="1"/>
  <c r="G141" i="9"/>
  <c r="G143" i="9" s="1"/>
  <c r="G147" i="9" s="1"/>
  <c r="E91" i="9"/>
  <c r="H148" i="9" l="1"/>
  <c r="H157" i="9" s="1"/>
  <c r="G146" i="9"/>
  <c r="P148" i="9"/>
  <c r="P157" i="9" s="1"/>
  <c r="Q148" i="9"/>
  <c r="Q157" i="9" s="1"/>
  <c r="F148" i="9"/>
  <c r="F157" i="9" l="1"/>
  <c r="F150" i="9"/>
  <c r="G148" i="9"/>
  <c r="G157" i="9" s="1"/>
  <c r="F159" i="9" l="1"/>
  <c r="G159" i="9" s="1"/>
  <c r="H159" i="9" s="1"/>
  <c r="I159" i="9" s="1"/>
  <c r="J159" i="9" s="1"/>
  <c r="K159" i="9" s="1"/>
  <c r="L159" i="9" s="1"/>
  <c r="M159" i="9" s="1"/>
  <c r="N159" i="9" s="1"/>
  <c r="O159" i="9" s="1"/>
  <c r="P159" i="9" s="1"/>
  <c r="Q159" i="9" s="1"/>
  <c r="R159" i="9" s="1"/>
  <c r="S159" i="9" s="1"/>
  <c r="T159" i="9" s="1"/>
  <c r="U159" i="9" s="1"/>
  <c r="V159" i="9" s="1"/>
  <c r="W159" i="9" s="1"/>
  <c r="X159" i="9" s="1"/>
  <c r="Y159" i="9" s="1"/>
  <c r="Z159" i="9" s="1"/>
  <c r="AA159" i="9" s="1"/>
  <c r="AB159" i="9" s="1"/>
  <c r="AC159" i="9" s="1"/>
  <c r="AD159" i="9" s="1"/>
  <c r="AE159" i="9" s="1"/>
  <c r="AF159" i="9" s="1"/>
  <c r="AG159" i="9" s="1"/>
  <c r="AH159" i="9" s="1"/>
  <c r="F158" i="9"/>
  <c r="G150" i="9"/>
  <c r="H150" i="9" s="1"/>
  <c r="I150" i="9" s="1"/>
  <c r="J150" i="9" s="1"/>
  <c r="K150" i="9" s="1"/>
  <c r="L150" i="9" s="1"/>
  <c r="M150" i="9" s="1"/>
  <c r="N150" i="9" s="1"/>
  <c r="O150" i="9" s="1"/>
  <c r="P150" i="9" s="1"/>
  <c r="Q150" i="9" s="1"/>
  <c r="R150" i="9" s="1"/>
  <c r="S150" i="9" s="1"/>
  <c r="T150" i="9" s="1"/>
  <c r="U150" i="9" s="1"/>
  <c r="V150" i="9" s="1"/>
  <c r="W150" i="9" s="1"/>
  <c r="X150" i="9" s="1"/>
  <c r="Y150" i="9" s="1"/>
  <c r="Z150" i="9" s="1"/>
  <c r="AA150" i="9" s="1"/>
  <c r="AB150" i="9" s="1"/>
  <c r="AC150" i="9" s="1"/>
  <c r="AD150" i="9" s="1"/>
  <c r="AE150" i="9" s="1"/>
  <c r="AF150" i="9" s="1"/>
  <c r="AG150" i="9" s="1"/>
  <c r="AH150" i="9" s="1"/>
  <c r="F149" i="9"/>
</calcChain>
</file>

<file path=xl/sharedStrings.xml><?xml version="1.0" encoding="utf-8"?>
<sst xmlns="http://schemas.openxmlformats.org/spreadsheetml/2006/main" count="442" uniqueCount="166">
  <si>
    <t>Vintage</t>
  </si>
  <si>
    <t>Added MW</t>
  </si>
  <si>
    <t>Totals</t>
  </si>
  <si>
    <t>Total Net Present Value =</t>
  </si>
  <si>
    <t>Cost ($millions) in Year -------------&gt;</t>
  </si>
  <si>
    <t>SREC RPS</t>
  </si>
  <si>
    <t>SACP</t>
  </si>
  <si>
    <t>SREC ave. price</t>
  </si>
  <si>
    <t>Class 1 REC price</t>
  </si>
  <si>
    <t xml:space="preserve">Class 1 RPS  </t>
  </si>
  <si>
    <t>Total electric expenditures, $mill.  (USEIA 2016)</t>
  </si>
  <si>
    <t>Class 1 RECs (millions)</t>
  </si>
  <si>
    <t>Electric Sales, yearly escalation</t>
  </si>
  <si>
    <t>Class 1 REC price escalation</t>
  </si>
  <si>
    <t>Discount Rate for NPV</t>
  </si>
  <si>
    <t>Est. Electric Sales 2019, million MWH</t>
  </si>
  <si>
    <t>Annual Electric Sales, million MWH</t>
  </si>
  <si>
    <t>Legacy SREC Cost</t>
  </si>
  <si>
    <t>2019 Class 1 REC Price</t>
  </si>
  <si>
    <t>SREC Price</t>
  </si>
  <si>
    <t>SREC I Price, % of SACP</t>
  </si>
  <si>
    <t>Class 1 RPS  less Solar &amp; Wind</t>
  </si>
  <si>
    <t>Wind equivalent RPS</t>
  </si>
  <si>
    <t>ZECs (Nuclear)</t>
  </si>
  <si>
    <t>Battery and EV</t>
  </si>
  <si>
    <t>SOLAR</t>
  </si>
  <si>
    <t>WIND</t>
  </si>
  <si>
    <t>OUT-OF-STATE RENEWABLES (CLASS 1 RECs)</t>
  </si>
  <si>
    <t>NUCLEAR</t>
  </si>
  <si>
    <t>Legacy SREC Program</t>
  </si>
  <si>
    <t>Rev. date</t>
  </si>
  <si>
    <t>RATE AND BILL ANALYSIS</t>
  </si>
  <si>
    <t>OREC Price (Weighted Ave.)</t>
  </si>
  <si>
    <t>Copyright Lyle Rawlings Jan. 31, 2019</t>
  </si>
  <si>
    <t>PURPOSE:</t>
  </si>
  <si>
    <t>•   Solar Legacy SREC Program</t>
  </si>
  <si>
    <t>•   Solar Interim TREC Program</t>
  </si>
  <si>
    <t>•   Offshore Wind</t>
  </si>
  <si>
    <t>•   Class I RECs</t>
  </si>
  <si>
    <t>•   Nuclear ZECs</t>
  </si>
  <si>
    <t>•   Efficiency and Demand Side Management</t>
  </si>
  <si>
    <t>•   Battery and EV Infrastructure</t>
  </si>
  <si>
    <t>•   Grid Infrastructure Upgrades for Renewables</t>
  </si>
  <si>
    <t>Successor Program Cost</t>
  </si>
  <si>
    <t>Total Solar Programs Cost</t>
  </si>
  <si>
    <t>Class 1 RPS Cost</t>
  </si>
  <si>
    <t>Offshore Wind Cost</t>
  </si>
  <si>
    <t>Class 1 RPS</t>
  </si>
  <si>
    <t>Added MW (from Final Capstone)</t>
  </si>
  <si>
    <t>COSTS RELATED TO GREEN PROGRAMS</t>
  </si>
  <si>
    <r>
      <t>Offshore Wind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</si>
  <si>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NOTES:</t>
  </si>
  <si>
    <t>Capacity, MW</t>
  </si>
  <si>
    <t>Annual Elec. Sales</t>
  </si>
  <si>
    <t>TREC Price (wtd. ave.)----&gt;</t>
  </si>
  <si>
    <t>Successor Program</t>
  </si>
  <si>
    <t>COST SAVINGS RELATED TO GREEN PROGRAMS</t>
  </si>
  <si>
    <t xml:space="preserve"> Social Cost of Criteria Pollutants</t>
  </si>
  <si>
    <t>Include?</t>
  </si>
  <si>
    <t xml:space="preserve"> WIND</t>
  </si>
  <si>
    <t>yes</t>
  </si>
  <si>
    <t xml:space="preserve"> Jobs and Economic Growth</t>
  </si>
  <si>
    <t>no</t>
  </si>
  <si>
    <t>CLASS I RENEWABLES</t>
  </si>
  <si>
    <t>ENERGY EFFICIENCY</t>
  </si>
  <si>
    <t xml:space="preserve"> Bill Reduction</t>
  </si>
  <si>
    <t xml:space="preserve"> Transportation Cost Reduction</t>
  </si>
  <si>
    <t>Costs in $millions</t>
  </si>
  <si>
    <t xml:space="preserve"> CUMULATIVE CHANGE</t>
  </si>
  <si>
    <t>CUMULATIVE CHANGE, $/KWH</t>
  </si>
  <si>
    <t>TOTAL COST OF GREEN PROGRAMS, $/KWH</t>
  </si>
  <si>
    <t>TOTAL COST OF GREEN PROGRAMS, $mill./YR.</t>
  </si>
  <si>
    <t>BASE</t>
  </si>
  <si>
    <t>Whalesale cost of power, ave.</t>
  </si>
  <si>
    <t>Social Cost of Criteria Pollutants</t>
  </si>
  <si>
    <r>
      <t xml:space="preserve"> Social Cost of GWP of CO</t>
    </r>
    <r>
      <rPr>
        <b/>
        <vertAlign val="subscript"/>
        <sz val="14"/>
        <rFont val="Calibri"/>
        <family val="2"/>
        <scheme val="minor"/>
      </rPr>
      <t>2</t>
    </r>
  </si>
  <si>
    <t>% of Elec. Sales</t>
  </si>
  <si>
    <t>Successor Production, MWH by Year</t>
  </si>
  <si>
    <t>Totals, MWH by Year</t>
  </si>
  <si>
    <t>Transition Program TREC Costs</t>
  </si>
  <si>
    <t>Transition Program Production, MWH/yr.</t>
  </si>
  <si>
    <t>Transition Program (TRECs)</t>
  </si>
  <si>
    <t>Transition Program Cost</t>
  </si>
  <si>
    <t>Production (MWH) in Year ---------------&gt;</t>
  </si>
  <si>
    <t>Transition Program Production, % of Sales</t>
  </si>
  <si>
    <t>Successor Program Production % of Sales</t>
  </si>
  <si>
    <t>Transition Program Production, MWH</t>
  </si>
  <si>
    <t>Legacy SREC Production, MWH</t>
  </si>
  <si>
    <t>Successor Program Production, MWH</t>
  </si>
  <si>
    <t>Total Solar Programs Production, MWH</t>
  </si>
  <si>
    <t>Production, MWH</t>
  </si>
  <si>
    <t>ELECTRIC VEHICLES</t>
  </si>
  <si>
    <t xml:space="preserve"> Social Cost of GWP Methane</t>
  </si>
  <si>
    <r>
      <t xml:space="preserve">Typical escalation </t>
    </r>
    <r>
      <rPr>
        <u/>
        <sz val="12"/>
        <rFont val="Calibri"/>
        <family val="2"/>
        <scheme val="minor"/>
      </rPr>
      <t>without</t>
    </r>
    <r>
      <rPr>
        <sz val="12"/>
        <rFont val="Calibri"/>
        <family val="2"/>
        <scheme val="minor"/>
      </rPr>
      <t xml:space="preserve"> green programs (DO NOT EDIT)</t>
    </r>
  </si>
  <si>
    <r>
      <t>Social Cost of CO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, $/ton</t>
    </r>
  </si>
  <si>
    <r>
      <t>Social Cost of CO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, $/MWH</t>
    </r>
  </si>
  <si>
    <t>Social Cost of Methane, $/ton</t>
  </si>
  <si>
    <t>tons/MWH</t>
  </si>
  <si>
    <t>KW</t>
  </si>
  <si>
    <t>Methane Emission Rate/MWH</t>
  </si>
  <si>
    <t>Output</t>
  </si>
  <si>
    <t>Efficiency</t>
  </si>
  <si>
    <t>Gas density</t>
  </si>
  <si>
    <t>lb/SCF</t>
  </si>
  <si>
    <t>KWH</t>
  </si>
  <si>
    <t>Gas usage, KWH</t>
  </si>
  <si>
    <t>KWH/SCF</t>
  </si>
  <si>
    <t>Gas heating value, HHV</t>
  </si>
  <si>
    <t>Gas feed rate</t>
  </si>
  <si>
    <t>Social Cost of Methane, $/MWH</t>
  </si>
  <si>
    <t>Class I RPS Production, MWH</t>
  </si>
  <si>
    <t>Nuclear Production, MWH</t>
  </si>
  <si>
    <t>Avoided Usage, MWH</t>
  </si>
  <si>
    <t>Reduction in average bill, % (EV load considered separately)</t>
  </si>
  <si>
    <t>Efficiency and Demand Side Mgmt Cost</t>
  </si>
  <si>
    <t>EFFICIENCY AND DEMAND SIDE MANAGEMENT</t>
  </si>
  <si>
    <t>INPUTS</t>
  </si>
  <si>
    <t>Successor Program Costs</t>
  </si>
  <si>
    <t>Degradation Rate</t>
  </si>
  <si>
    <t>YEARLY COST AND PRODUCTION FOR TRANSITION AND SUCCESSOR PROGRAMS</t>
  </si>
  <si>
    <t>Methane emission rate, tons CH4/MWH</t>
  </si>
  <si>
    <t>Methane emission rate, % of feedrate</t>
  </si>
  <si>
    <t>Year</t>
  </si>
  <si>
    <t>Solar Performance Facto:</t>
  </si>
  <si>
    <t>kWh/kWdc/Yr.</t>
  </si>
  <si>
    <t>YEAR-ON-YEAR INCREASE/DECREASE, $/KWH</t>
  </si>
  <si>
    <t>AVERAGE YEAR-ON-YEAR CHANGE, $/KWH</t>
  </si>
  <si>
    <t>Further Study</t>
  </si>
  <si>
    <t>Savings to participants</t>
  </si>
  <si>
    <t>Effect of Net Rate Increase/Decrease (from above) on Typical Residential Bill ("-" indicates a bill reduction)</t>
  </si>
  <si>
    <t>To assess the year-by-year and average costs in New Jersey for green programs between 2020 and 2050, including the following:</t>
  </si>
  <si>
    <r>
      <t xml:space="preserve">Total Benefits from Social Cost of Pollution, Jobs&amp; Economic Growth, Participant Savings, etc. (as indicated - see inclusions/exclusions) - </t>
    </r>
    <r>
      <rPr>
        <b/>
        <sz val="12"/>
        <color rgb="FF0000FF"/>
        <rFont val="Calibri"/>
        <family val="2"/>
        <scheme val="minor"/>
      </rPr>
      <t>$/kwh</t>
    </r>
  </si>
  <si>
    <r>
      <t>Total Benefits from Social Cost of Pollution, Jobs&amp; Economic Growth, Participant Savings, etc. (as indicated - see inclusions/exclusions) -</t>
    </r>
    <r>
      <rPr>
        <b/>
        <sz val="12"/>
        <color rgb="FF0000FF"/>
        <rFont val="Calibri"/>
        <family val="2"/>
        <scheme val="minor"/>
      </rPr>
      <t xml:space="preserve"> $/month</t>
    </r>
  </si>
  <si>
    <t>% of electric power from natural gas</t>
  </si>
  <si>
    <t>SEE BELOW (Row 164)</t>
  </si>
  <si>
    <t>Energy Efficiency Savings on Typical Residential Bill ("-" indicates a bill reduction)</t>
  </si>
  <si>
    <t>RATES - YEAR-ON-YEAR CHANGE</t>
  </si>
  <si>
    <t>BILLS - YEAR-ON-YEAR CHANGE</t>
  </si>
  <si>
    <t>(No year-on-year change)</t>
  </si>
  <si>
    <t>N/A</t>
  </si>
  <si>
    <r>
      <rPr>
        <b/>
        <sz val="14"/>
        <color rgb="FFFF0000"/>
        <rFont val="Calibri"/>
        <family val="2"/>
        <scheme val="minor"/>
      </rPr>
      <t>BENEFITS EXTERNAL TO ELECTRIC MARKETS - YEAR-ON-YEAR CHANGE</t>
    </r>
    <r>
      <rPr>
        <b/>
        <sz val="12"/>
        <color rgb="FFFF0000"/>
        <rFont val="Calibri"/>
        <family val="2"/>
        <scheme val="minor"/>
      </rPr>
      <t xml:space="preserve">
(use Column C above to include/exclude particular benefits)</t>
    </r>
  </si>
  <si>
    <r>
      <rPr>
        <b/>
        <sz val="14"/>
        <color rgb="FFFF0000"/>
        <rFont val="Calibri"/>
        <family val="2"/>
        <scheme val="minor"/>
      </rPr>
      <t>Average</t>
    </r>
    <r>
      <rPr>
        <b/>
        <sz val="12"/>
        <color rgb="FFFF0000"/>
        <rFont val="Calibri"/>
        <family val="2"/>
        <scheme val="minor"/>
      </rPr>
      <t xml:space="preserve"> Year-on-Year Change ("-" indicates a bill reduction)</t>
    </r>
  </si>
  <si>
    <r>
      <rPr>
        <b/>
        <sz val="14"/>
        <color rgb="FFFF0000"/>
        <rFont val="Calibri"/>
        <family val="2"/>
        <scheme val="minor"/>
      </rPr>
      <t>Cumulative</t>
    </r>
    <r>
      <rPr>
        <b/>
        <sz val="12"/>
        <color rgb="FFFF0000"/>
        <rFont val="Calibri"/>
        <family val="2"/>
        <scheme val="minor"/>
      </rPr>
      <t xml:space="preserve"> Year-on-Year Change ("-" indicates a bill reduction)</t>
    </r>
  </si>
  <si>
    <t>SUM OF COSTS AND BENEFITS AS INCLUDED</t>
  </si>
  <si>
    <t>Year-on-Year Rate Increase/Decrease year-on-year due to Green Program costs ("-" indicates a rate reduction)</t>
  </si>
  <si>
    <t>Rate Reduction due to Wholesale Cost Reduction/DRIPE ("-" indicates a rate reduction)</t>
  </si>
  <si>
    <t>Net Rate Increase/Decrease ("-" indicates a rate reduction)</t>
  </si>
  <si>
    <t>Year-on-Year Effect of Green Programs on Typical Residential Bill ("-" indicates a bill reduction)</t>
  </si>
  <si>
    <t>2. Interagency Working Group on the Social Cost of Greenhouse Gases, "Technical Support Document: Social Cost of Carbon, Methane, and Nitrous Oxide Interim Estimates under Executive Order 13990"</t>
  </si>
  <si>
    <t xml:space="preserve">3. New Jersey A4606, the 20-Year Time Horizon law - provisions on use of the lowest discount rate that is consistent with federal guidance, and use of the 20-year time horizon </t>
  </si>
  <si>
    <r>
      <t>Based on IWGSCGG Interim Estimates at 2.5% discount rate</t>
    </r>
    <r>
      <rPr>
        <vertAlign val="superscript"/>
        <sz val="11"/>
        <rFont val="Calibri"/>
        <family val="2"/>
        <scheme val="minor"/>
      </rPr>
      <t>2, 3</t>
    </r>
  </si>
  <si>
    <r>
      <t xml:space="preserve"> Jobs and Economic Growth</t>
    </r>
    <r>
      <rPr>
        <b/>
        <vertAlign val="superscript"/>
        <sz val="14"/>
        <rFont val="Calibri"/>
        <family val="2"/>
        <scheme val="minor"/>
      </rPr>
      <t>4</t>
    </r>
  </si>
  <si>
    <r>
      <t xml:space="preserve">5. Lawrence Berkeley Laboratories, "Impacts of High Variable Renewable Energy (VRE) Futures on Electricity Prices, and on Electric Sector Decision Making" </t>
    </r>
    <r>
      <rPr>
        <sz val="11"/>
        <color rgb="FF0000FF"/>
        <rFont val="Calibri"/>
        <family val="2"/>
      </rPr>
      <t>https://emp.lbl.gov/sites/default/files/webinars/presentation_pdf.pdf</t>
    </r>
  </si>
  <si>
    <t>1.  Scheduled capcity through 2030 based on Final Capstone Report</t>
  </si>
  <si>
    <r>
      <t>Based on IWGSCGG Interim Estimates at 2.5% discount rate, adjusted for 20-year time horizon</t>
    </r>
    <r>
      <rPr>
        <vertAlign val="superscript"/>
        <sz val="11"/>
        <rFont val="Calibri"/>
        <family val="2"/>
        <scheme val="minor"/>
      </rPr>
      <t>2, 3</t>
    </r>
  </si>
  <si>
    <r>
      <t>Wholesale Cost Reduction (DRIPE) - LBL</t>
    </r>
    <r>
      <rPr>
        <b/>
        <vertAlign val="superscript"/>
        <sz val="14"/>
        <color theme="1"/>
        <rFont val="Calibri"/>
        <family val="2"/>
        <scheme val="minor"/>
      </rPr>
      <t>5, 6</t>
    </r>
  </si>
  <si>
    <r>
      <t xml:space="preserve">4. Clean Power Research,  "The Value of Distributed Solar Electric Generation to New Jersey and Pennsylvania", </t>
    </r>
    <r>
      <rPr>
        <sz val="11"/>
        <color rgb="FF0000FF"/>
        <rFont val="Calibri"/>
        <family val="2"/>
        <scheme val="minor"/>
      </rPr>
      <t>http://mseia.net/site/wp-content/uploads/2012/05/MSEIA-Final-Benefits-of-Solar-Report-2012-11-01.pdf</t>
    </r>
  </si>
  <si>
    <r>
      <t>Renewable Grid Infrastructure</t>
    </r>
    <r>
      <rPr>
        <b/>
        <vertAlign val="superscript"/>
        <sz val="14"/>
        <rFont val="Calibri"/>
        <family val="2"/>
        <scheme val="minor"/>
      </rPr>
      <t>4</t>
    </r>
  </si>
  <si>
    <t>6. Conservatively, it is assumed that the reduction in wholesale costs ends in 2030 due to government interventions to stabilize electric market prices</t>
  </si>
  <si>
    <t>PRELIMINARY</t>
  </si>
  <si>
    <t>To assess the year-by-year and average costs, benefits, and rate impacts in New Jersey for green eenrgy programs between 2020 and 2050, including the following:</t>
  </si>
  <si>
    <t>COSTS, BENEFITS, AND RATE IMPACTS OF GREEN ENERGY PROGRAMS - 2021 - 2050</t>
  </si>
  <si>
    <t>CASE 2 - SOLAR ONLY</t>
  </si>
  <si>
    <t>CASE 1 - ALL GREEN ENERGY PROGRAMS + EVs</t>
  </si>
  <si>
    <t>Based on Staff Straw Proposal</t>
  </si>
  <si>
    <t>Wholesale cost of power,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</si>
</sst>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.000"/>
    <numFmt numFmtId="167" formatCode="&quot;$&quot;#,##0"/>
    <numFmt numFmtId="168" formatCode="0.0%"/>
    <numFmt numFmtId="169" formatCode="0.0"/>
    <numFmt numFmtId="170" formatCode="_(* #,##0_);_(* \(#,##0\);_(* &quot;-&quot;??_);_(@_)"/>
    <numFmt numFmtId="171" formatCode="0.000%"/>
    <numFmt numFmtId="172" formatCode="_(* #,##0_);_(* \(#,##0\);_(* &quot;-&quot;?_);_(@_)"/>
    <numFmt numFmtId="173" formatCode="_(* #,##0.00_);_(* \(#,##0.00\);_(* &quot;-&quot;???_);_(@_)"/>
    <numFmt numFmtId="174" formatCode="_(* #,##0.000_);_(* \(#,##0.000\);_(* &quot;-&quot;?_);_(@_)"/>
    <numFmt numFmtId="175" formatCode="_(* #,##0.000_);_(* \(#,##0.000\);_(* &quot;-&quot;??_);_(@_)"/>
    <numFmt numFmtId="176" formatCode="_(* #,##0.00_);_(* \(#,##0.00\);_(* &quot;-&quot;?_);_(@_)"/>
    <numFmt numFmtId="177" formatCode="&quot;$&quot;#,##0.0000"/>
    <numFmt numFmtId="178" formatCode="&quot;$&quot;#,##0.0"/>
    <numFmt numFmtId="179" formatCode="0.00000"/>
    <numFmt numFmtId="180" formatCode="0.000"/>
    <numFmt numFmtId="181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3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0"/>
      <color rgb="FF0066FF"/>
      <name val="Calibri"/>
      <family val="2"/>
      <scheme val="minor"/>
    </font>
    <font>
      <b/>
      <sz val="16"/>
      <color rgb="FF00B050"/>
      <name val="Calibri"/>
      <family val="2"/>
      <scheme val="minor"/>
    </font>
    <font>
      <u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6"/>
      <color rgb="FF05C800"/>
      <name val="Calibri"/>
      <family val="2"/>
      <scheme val="minor"/>
    </font>
    <font>
      <b/>
      <sz val="18"/>
      <color rgb="FF05C8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EEA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ck">
        <color rgb="FF0000FF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rgb="FF0000F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0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169" fontId="0" fillId="0" borderId="0" xfId="0" applyNumberFormat="1" applyBorder="1"/>
    <xf numFmtId="0" fontId="2" fillId="0" borderId="0" xfId="0" applyFont="1" applyAlignment="1">
      <alignment horizontal="center"/>
    </xf>
    <xf numFmtId="167" fontId="7" fillId="0" borderId="0" xfId="0" applyNumberFormat="1" applyFont="1" applyBorder="1"/>
    <xf numFmtId="167" fontId="7" fillId="0" borderId="0" xfId="0" applyNumberFormat="1" applyFont="1"/>
    <xf numFmtId="0" fontId="8" fillId="0" borderId="0" xfId="0" applyFont="1" applyAlignment="1">
      <alignment horizontal="center"/>
    </xf>
    <xf numFmtId="167" fontId="8" fillId="0" borderId="0" xfId="0" applyNumberFormat="1" applyFont="1"/>
    <xf numFmtId="0" fontId="9" fillId="0" borderId="0" xfId="0" applyFont="1" applyAlignment="1">
      <alignment horizontal="right"/>
    </xf>
    <xf numFmtId="167" fontId="10" fillId="0" borderId="0" xfId="0" applyNumberFormat="1" applyFont="1" applyAlignment="1">
      <alignment horizontal="left"/>
    </xf>
    <xf numFmtId="170" fontId="0" fillId="0" borderId="0" xfId="3" applyNumberFormat="1" applyFont="1"/>
    <xf numFmtId="166" fontId="0" fillId="0" borderId="0" xfId="0" applyNumberFormat="1"/>
    <xf numFmtId="10" fontId="0" fillId="0" borderId="0" xfId="2" applyNumberFormat="1" applyFont="1"/>
    <xf numFmtId="169" fontId="0" fillId="0" borderId="0" xfId="0" applyNumberFormat="1"/>
    <xf numFmtId="165" fontId="0" fillId="0" borderId="0" xfId="0" applyNumberFormat="1"/>
    <xf numFmtId="0" fontId="0" fillId="0" borderId="1" xfId="0" applyBorder="1"/>
    <xf numFmtId="169" fontId="0" fillId="0" borderId="1" xfId="0" applyNumberFormat="1" applyBorder="1"/>
    <xf numFmtId="174" fontId="0" fillId="0" borderId="1" xfId="0" applyNumberFormat="1" applyBorder="1"/>
    <xf numFmtId="175" fontId="0" fillId="0" borderId="0" xfId="0" applyNumberFormat="1"/>
    <xf numFmtId="0" fontId="0" fillId="0" borderId="0" xfId="0" applyFill="1" applyBorder="1"/>
    <xf numFmtId="0" fontId="13" fillId="0" borderId="0" xfId="0" applyFont="1"/>
    <xf numFmtId="0" fontId="13" fillId="0" borderId="0" xfId="0" applyFont="1" applyFill="1" applyBorder="1"/>
    <xf numFmtId="0" fontId="0" fillId="2" borderId="1" xfId="0" applyFill="1" applyBorder="1" applyAlignment="1">
      <alignment horizontal="center"/>
    </xf>
    <xf numFmtId="168" fontId="0" fillId="2" borderId="1" xfId="2" applyNumberFormat="1" applyFont="1" applyFill="1" applyBorder="1" applyAlignment="1">
      <alignment horizontal="center"/>
    </xf>
    <xf numFmtId="174" fontId="0" fillId="0" borderId="0" xfId="0" applyNumberFormat="1" applyBorder="1"/>
    <xf numFmtId="0" fontId="14" fillId="0" borderId="0" xfId="0" applyFont="1"/>
    <xf numFmtId="0" fontId="15" fillId="0" borderId="0" xfId="0" applyFont="1"/>
    <xf numFmtId="9" fontId="0" fillId="0" borderId="0" xfId="2" applyFont="1" applyFill="1" applyBorder="1"/>
    <xf numFmtId="165" fontId="0" fillId="0" borderId="1" xfId="1" applyNumberFormat="1" applyFont="1" applyBorder="1"/>
    <xf numFmtId="172" fontId="12" fillId="0" borderId="1" xfId="0" applyNumberFormat="1" applyFont="1" applyBorder="1"/>
    <xf numFmtId="0" fontId="16" fillId="0" borderId="0" xfId="0" applyFont="1"/>
    <xf numFmtId="167" fontId="14" fillId="4" borderId="1" xfId="0" applyNumberFormat="1" applyFont="1" applyFill="1" applyBorder="1"/>
    <xf numFmtId="0" fontId="14" fillId="4" borderId="1" xfId="0" applyFont="1" applyFill="1" applyBorder="1"/>
    <xf numFmtId="168" fontId="0" fillId="4" borderId="1" xfId="2" applyNumberFormat="1" applyFont="1" applyFill="1" applyBorder="1"/>
    <xf numFmtId="9" fontId="0" fillId="4" borderId="1" xfId="2" applyFont="1" applyFill="1" applyBorder="1"/>
    <xf numFmtId="165" fontId="0" fillId="4" borderId="1" xfId="2" applyNumberFormat="1" applyFont="1" applyFill="1" applyBorder="1"/>
    <xf numFmtId="0" fontId="2" fillId="3" borderId="10" xfId="0" applyFont="1" applyFill="1" applyBorder="1"/>
    <xf numFmtId="0" fontId="4" fillId="0" borderId="0" xfId="0" applyFont="1" applyBorder="1"/>
    <xf numFmtId="0" fontId="2" fillId="3" borderId="8" xfId="0" applyFont="1" applyFill="1" applyBorder="1"/>
    <xf numFmtId="0" fontId="2" fillId="3" borderId="9" xfId="0" applyFont="1" applyFill="1" applyBorder="1"/>
    <xf numFmtId="174" fontId="0" fillId="0" borderId="4" xfId="0" applyNumberFormat="1" applyBorder="1"/>
    <xf numFmtId="0" fontId="17" fillId="0" borderId="0" xfId="0" applyFont="1" applyFill="1" applyBorder="1"/>
    <xf numFmtId="165" fontId="1" fillId="0" borderId="1" xfId="1" applyNumberFormat="1" applyFont="1" applyBorder="1"/>
    <xf numFmtId="10" fontId="0" fillId="0" borderId="0" xfId="0" applyNumberFormat="1" applyAlignment="1">
      <alignment horizontal="center"/>
    </xf>
    <xf numFmtId="172" fontId="2" fillId="0" borderId="0" xfId="0" applyNumberFormat="1" applyFont="1" applyBorder="1"/>
    <xf numFmtId="0" fontId="2" fillId="0" borderId="0" xfId="0" applyFont="1" applyFill="1" applyBorder="1"/>
    <xf numFmtId="10" fontId="0" fillId="0" borderId="1" xfId="2" applyNumberFormat="1" applyFont="1" applyBorder="1"/>
    <xf numFmtId="10" fontId="0" fillId="0" borderId="1" xfId="0" applyNumberFormat="1" applyBorder="1" applyAlignment="1">
      <alignment horizontal="center"/>
    </xf>
    <xf numFmtId="10" fontId="1" fillId="0" borderId="1" xfId="2" applyNumberFormat="1" applyFont="1" applyBorder="1"/>
    <xf numFmtId="0" fontId="4" fillId="0" borderId="0" xfId="0" applyFont="1" applyFill="1" applyBorder="1"/>
    <xf numFmtId="0" fontId="0" fillId="0" borderId="0" xfId="0" applyFont="1" applyFill="1" applyBorder="1"/>
    <xf numFmtId="172" fontId="0" fillId="0" borderId="0" xfId="0" applyNumberFormat="1" applyFont="1" applyBorder="1"/>
    <xf numFmtId="0" fontId="0" fillId="0" borderId="0" xfId="0" applyFont="1" applyBorder="1"/>
    <xf numFmtId="174" fontId="0" fillId="0" borderId="0" xfId="0" applyNumberFormat="1" applyFont="1" applyBorder="1"/>
    <xf numFmtId="172" fontId="0" fillId="0" borderId="1" xfId="0" applyNumberFormat="1" applyFont="1" applyBorder="1"/>
    <xf numFmtId="173" fontId="0" fillId="0" borderId="1" xfId="0" applyNumberFormat="1" applyBorder="1"/>
    <xf numFmtId="165" fontId="0" fillId="0" borderId="1" xfId="0" applyNumberFormat="1" applyFont="1" applyBorder="1"/>
    <xf numFmtId="170" fontId="12" fillId="0" borderId="1" xfId="0" applyNumberFormat="1" applyFont="1" applyBorder="1"/>
    <xf numFmtId="0" fontId="21" fillId="0" borderId="1" xfId="0" applyFont="1" applyBorder="1"/>
    <xf numFmtId="0" fontId="12" fillId="0" borderId="1" xfId="0" applyFont="1" applyBorder="1"/>
    <xf numFmtId="0" fontId="12" fillId="0" borderId="1" xfId="0" applyFont="1" applyFill="1" applyBorder="1"/>
    <xf numFmtId="0" fontId="18" fillId="0" borderId="0" xfId="0" applyFont="1"/>
    <xf numFmtId="0" fontId="19" fillId="0" borderId="0" xfId="0" applyFont="1"/>
    <xf numFmtId="0" fontId="11" fillId="0" borderId="0" xfId="0" applyFont="1"/>
    <xf numFmtId="0" fontId="21" fillId="0" borderId="0" xfId="0" applyFont="1" applyBorder="1"/>
    <xf numFmtId="0" fontId="14" fillId="0" borderId="0" xfId="0" applyFont="1" applyFill="1" applyBorder="1"/>
    <xf numFmtId="0" fontId="11" fillId="0" borderId="0" xfId="0" applyFont="1" applyFill="1" applyBorder="1"/>
    <xf numFmtId="1" fontId="12" fillId="0" borderId="1" xfId="0" applyNumberFormat="1" applyFont="1" applyBorder="1"/>
    <xf numFmtId="14" fontId="0" fillId="0" borderId="0" xfId="0" applyNumberFormat="1"/>
    <xf numFmtId="0" fontId="0" fillId="0" borderId="0" xfId="0" quotePrefix="1" applyFont="1"/>
    <xf numFmtId="0" fontId="23" fillId="0" borderId="0" xfId="0" applyFont="1" applyFill="1" applyBorder="1"/>
    <xf numFmtId="165" fontId="12" fillId="0" borderId="0" xfId="0" applyNumberFormat="1" applyFont="1"/>
    <xf numFmtId="0" fontId="12" fillId="0" borderId="0" xfId="0" applyFont="1" applyBorder="1"/>
    <xf numFmtId="0" fontId="12" fillId="0" borderId="0" xfId="0" applyFont="1" applyFill="1" applyBorder="1"/>
    <xf numFmtId="1" fontId="6" fillId="0" borderId="1" xfId="0" applyNumberFormat="1" applyFont="1" applyBorder="1" applyAlignment="1">
      <alignment horizontal="right" vertical="center"/>
    </xf>
    <xf numFmtId="172" fontId="0" fillId="0" borderId="0" xfId="0" applyNumberFormat="1" applyBorder="1"/>
    <xf numFmtId="176" fontId="0" fillId="0" borderId="0" xfId="0" applyNumberFormat="1" applyBorder="1"/>
    <xf numFmtId="165" fontId="19" fillId="0" borderId="0" xfId="0" applyNumberFormat="1" applyFont="1"/>
    <xf numFmtId="10" fontId="17" fillId="0" borderId="12" xfId="2" applyNumberFormat="1" applyFont="1" applyBorder="1"/>
    <xf numFmtId="0" fontId="17" fillId="0" borderId="12" xfId="0" applyFont="1" applyBorder="1"/>
    <xf numFmtId="3" fontId="28" fillId="0" borderId="0" xfId="2" applyNumberFormat="1" applyFont="1" applyBorder="1"/>
    <xf numFmtId="177" fontId="29" fillId="0" borderId="0" xfId="0" applyNumberFormat="1" applyFont="1" applyBorder="1"/>
    <xf numFmtId="0" fontId="31" fillId="0" borderId="0" xfId="0" applyFont="1"/>
    <xf numFmtId="0" fontId="32" fillId="0" borderId="0" xfId="0" applyFont="1"/>
    <xf numFmtId="170" fontId="33" fillId="0" borderId="0" xfId="3" applyNumberFormat="1" applyFont="1"/>
    <xf numFmtId="170" fontId="33" fillId="0" borderId="0" xfId="0" applyNumberFormat="1" applyFont="1"/>
    <xf numFmtId="168" fontId="14" fillId="0" borderId="1" xfId="2" applyNumberFormat="1" applyFont="1" applyFill="1" applyBorder="1"/>
    <xf numFmtId="172" fontId="12" fillId="0" borderId="0" xfId="0" applyNumberFormat="1" applyFont="1" applyBorder="1"/>
    <xf numFmtId="0" fontId="18" fillId="0" borderId="0" xfId="0" applyFont="1" applyFill="1" applyBorder="1"/>
    <xf numFmtId="172" fontId="19" fillId="0" borderId="1" xfId="0" applyNumberFormat="1" applyFont="1" applyBorder="1"/>
    <xf numFmtId="170" fontId="14" fillId="0" borderId="0" xfId="0" applyNumberFormat="1" applyFont="1"/>
    <xf numFmtId="0" fontId="0" fillId="3" borderId="16" xfId="0" applyFill="1" applyBorder="1"/>
    <xf numFmtId="0" fontId="0" fillId="3" borderId="17" xfId="0" applyFill="1" applyBorder="1"/>
    <xf numFmtId="0" fontId="2" fillId="3" borderId="18" xfId="0" applyFont="1" applyFill="1" applyBorder="1"/>
    <xf numFmtId="0" fontId="18" fillId="3" borderId="17" xfId="0" applyFont="1" applyFill="1" applyBorder="1"/>
    <xf numFmtId="0" fontId="18" fillId="3" borderId="12" xfId="0" applyFont="1" applyFill="1" applyBorder="1"/>
    <xf numFmtId="0" fontId="17" fillId="3" borderId="10" xfId="0" applyFont="1" applyFill="1" applyBorder="1"/>
    <xf numFmtId="0" fontId="2" fillId="0" borderId="19" xfId="0" applyFont="1" applyFill="1" applyBorder="1"/>
    <xf numFmtId="0" fontId="2" fillId="0" borderId="19" xfId="0" applyFont="1" applyBorder="1"/>
    <xf numFmtId="43" fontId="17" fillId="0" borderId="1" xfId="3" applyNumberFormat="1" applyFont="1" applyBorder="1"/>
    <xf numFmtId="10" fontId="17" fillId="0" borderId="1" xfId="2" applyNumberFormat="1" applyFont="1" applyBorder="1"/>
    <xf numFmtId="169" fontId="17" fillId="0" borderId="1" xfId="0" applyNumberFormat="1" applyFont="1" applyBorder="1"/>
    <xf numFmtId="172" fontId="28" fillId="0" borderId="1" xfId="0" applyNumberFormat="1" applyFont="1" applyBorder="1"/>
    <xf numFmtId="172" fontId="17" fillId="0" borderId="19" xfId="0" applyNumberFormat="1" applyFont="1" applyBorder="1"/>
    <xf numFmtId="0" fontId="17" fillId="0" borderId="19" xfId="0" applyFont="1" applyBorder="1"/>
    <xf numFmtId="172" fontId="17" fillId="0" borderId="1" xfId="0" applyNumberFormat="1" applyFont="1" applyBorder="1"/>
    <xf numFmtId="0" fontId="17" fillId="0" borderId="1" xfId="0" applyFont="1" applyBorder="1"/>
    <xf numFmtId="172" fontId="30" fillId="0" borderId="1" xfId="0" applyNumberFormat="1" applyFont="1" applyBorder="1"/>
    <xf numFmtId="172" fontId="30" fillId="0" borderId="19" xfId="0" applyNumberFormat="1" applyFont="1" applyBorder="1"/>
    <xf numFmtId="174" fontId="17" fillId="0" borderId="19" xfId="0" applyNumberFormat="1" applyFont="1" applyBorder="1"/>
    <xf numFmtId="174" fontId="17" fillId="0" borderId="1" xfId="0" applyNumberFormat="1" applyFont="1" applyBorder="1"/>
    <xf numFmtId="165" fontId="17" fillId="0" borderId="1" xfId="1" applyNumberFormat="1" applyFont="1" applyBorder="1"/>
    <xf numFmtId="6" fontId="28" fillId="0" borderId="19" xfId="0" applyNumberFormat="1" applyFont="1" applyBorder="1"/>
    <xf numFmtId="3" fontId="28" fillId="0" borderId="19" xfId="2" applyNumberFormat="1" applyFont="1" applyBorder="1"/>
    <xf numFmtId="0" fontId="2" fillId="0" borderId="19" xfId="0" applyFont="1" applyBorder="1" applyAlignment="1">
      <alignment horizontal="center"/>
    </xf>
    <xf numFmtId="0" fontId="11" fillId="3" borderId="10" xfId="0" applyFont="1" applyFill="1" applyBorder="1"/>
    <xf numFmtId="1" fontId="0" fillId="4" borderId="1" xfId="2" applyNumberFormat="1" applyFont="1" applyFill="1" applyBorder="1"/>
    <xf numFmtId="1" fontId="0" fillId="0" borderId="0" xfId="0" applyNumberFormat="1"/>
    <xf numFmtId="1" fontId="0" fillId="0" borderId="0" xfId="3" applyNumberFormat="1" applyFont="1"/>
    <xf numFmtId="0" fontId="26" fillId="6" borderId="0" xfId="0" applyFont="1" applyFill="1" applyBorder="1"/>
    <xf numFmtId="0" fontId="0" fillId="6" borderId="0" xfId="0" applyFill="1"/>
    <xf numFmtId="0" fontId="26" fillId="6" borderId="0" xfId="0" applyFont="1" applyFill="1" applyAlignment="1">
      <alignment horizontal="left"/>
    </xf>
    <xf numFmtId="170" fontId="0" fillId="0" borderId="1" xfId="3" applyNumberFormat="1" applyFont="1" applyBorder="1"/>
    <xf numFmtId="0" fontId="3" fillId="7" borderId="12" xfId="0" applyFont="1" applyFill="1" applyBorder="1"/>
    <xf numFmtId="0" fontId="7" fillId="0" borderId="20" xfId="0" applyFont="1" applyFill="1" applyBorder="1"/>
    <xf numFmtId="9" fontId="0" fillId="0" borderId="21" xfId="2" applyFont="1" applyFill="1" applyBorder="1"/>
    <xf numFmtId="0" fontId="18" fillId="0" borderId="22" xfId="0" applyFont="1" applyFill="1" applyBorder="1"/>
    <xf numFmtId="9" fontId="0" fillId="0" borderId="22" xfId="2" applyFont="1" applyFill="1" applyBorder="1"/>
    <xf numFmtId="6" fontId="28" fillId="0" borderId="20" xfId="0" applyNumberFormat="1" applyFont="1" applyBorder="1"/>
    <xf numFmtId="170" fontId="36" fillId="0" borderId="1" xfId="3" applyNumberFormat="1" applyFont="1" applyBorder="1"/>
    <xf numFmtId="170" fontId="37" fillId="0" borderId="1" xfId="3" applyNumberFormat="1" applyFont="1" applyBorder="1"/>
    <xf numFmtId="170" fontId="37" fillId="0" borderId="1" xfId="3" applyNumberFormat="1" applyFont="1" applyBorder="1" applyAlignment="1">
      <alignment horizontal="center"/>
    </xf>
    <xf numFmtId="172" fontId="37" fillId="0" borderId="1" xfId="0" applyNumberFormat="1" applyFont="1" applyBorder="1"/>
    <xf numFmtId="0" fontId="41" fillId="0" borderId="0" xfId="0" quotePrefix="1" applyFont="1"/>
    <xf numFmtId="0" fontId="41" fillId="0" borderId="0" xfId="0" quotePrefix="1" applyFont="1" applyBorder="1"/>
    <xf numFmtId="3" fontId="15" fillId="0" borderId="0" xfId="2" applyNumberFormat="1" applyFont="1" applyBorder="1"/>
    <xf numFmtId="179" fontId="2" fillId="0" borderId="0" xfId="0" applyNumberFormat="1" applyFont="1" applyFill="1" applyBorder="1"/>
    <xf numFmtId="179" fontId="14" fillId="0" borderId="0" xfId="2" applyNumberFormat="1" applyFont="1" applyBorder="1"/>
    <xf numFmtId="0" fontId="23" fillId="0" borderId="1" xfId="0" applyFont="1" applyBorder="1"/>
    <xf numFmtId="0" fontId="23" fillId="0" borderId="1" xfId="0" applyFont="1" applyFill="1" applyBorder="1"/>
    <xf numFmtId="177" fontId="15" fillId="0" borderId="0" xfId="0" applyNumberFormat="1" applyFont="1" applyBorder="1"/>
    <xf numFmtId="3" fontId="29" fillId="0" borderId="0" xfId="2" applyNumberFormat="1" applyFont="1" applyBorder="1"/>
    <xf numFmtId="181" fontId="0" fillId="0" borderId="0" xfId="0" applyNumberFormat="1"/>
    <xf numFmtId="180" fontId="0" fillId="0" borderId="0" xfId="0" applyNumberFormat="1"/>
    <xf numFmtId="168" fontId="0" fillId="0" borderId="0" xfId="2" applyNumberFormat="1" applyFont="1"/>
    <xf numFmtId="179" fontId="2" fillId="0" borderId="0" xfId="0" applyNumberFormat="1" applyFont="1"/>
    <xf numFmtId="169" fontId="0" fillId="5" borderId="1" xfId="2" applyNumberFormat="1" applyFont="1" applyFill="1" applyBorder="1"/>
    <xf numFmtId="1" fontId="0" fillId="5" borderId="24" xfId="3" applyNumberFormat="1" applyFont="1" applyFill="1" applyBorder="1"/>
    <xf numFmtId="169" fontId="0" fillId="4" borderId="25" xfId="2" applyNumberFormat="1" applyFont="1" applyFill="1" applyBorder="1"/>
    <xf numFmtId="0" fontId="0" fillId="4" borderId="1" xfId="0" applyFill="1" applyBorder="1"/>
    <xf numFmtId="0" fontId="21" fillId="7" borderId="12" xfId="0" applyFont="1" applyFill="1" applyBorder="1"/>
    <xf numFmtId="0" fontId="0" fillId="7" borderId="12" xfId="0" applyFont="1" applyFill="1" applyBorder="1"/>
    <xf numFmtId="179" fontId="14" fillId="8" borderId="1" xfId="0" applyNumberFormat="1" applyFont="1" applyFill="1" applyBorder="1"/>
    <xf numFmtId="179" fontId="14" fillId="0" borderId="1" xfId="0" applyNumberFormat="1" applyFont="1" applyBorder="1"/>
    <xf numFmtId="179" fontId="14" fillId="0" borderId="1" xfId="3" applyNumberFormat="1" applyFont="1" applyBorder="1"/>
    <xf numFmtId="179" fontId="14" fillId="0" borderId="1" xfId="2" applyNumberFormat="1" applyFont="1" applyBorder="1"/>
    <xf numFmtId="0" fontId="2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0" borderId="0" xfId="0" applyFont="1" applyBorder="1"/>
    <xf numFmtId="0" fontId="44" fillId="0" borderId="0" xfId="0" applyFont="1"/>
    <xf numFmtId="44" fontId="0" fillId="4" borderId="1" xfId="1" applyFont="1" applyFill="1" applyBorder="1"/>
    <xf numFmtId="0" fontId="17" fillId="3" borderId="23" xfId="0" applyFont="1" applyFill="1" applyBorder="1"/>
    <xf numFmtId="3" fontId="28" fillId="0" borderId="12" xfId="2" applyNumberFormat="1" applyFont="1" applyBorder="1"/>
    <xf numFmtId="0" fontId="2" fillId="3" borderId="13" xfId="0" applyFont="1" applyFill="1" applyBorder="1"/>
    <xf numFmtId="0" fontId="2" fillId="0" borderId="21" xfId="0" applyFont="1" applyFill="1" applyBorder="1"/>
    <xf numFmtId="0" fontId="2" fillId="0" borderId="21" xfId="0" applyFont="1" applyBorder="1"/>
    <xf numFmtId="173" fontId="0" fillId="0" borderId="12" xfId="0" applyNumberFormat="1" applyFont="1" applyBorder="1"/>
    <xf numFmtId="10" fontId="1" fillId="0" borderId="12" xfId="2" applyNumberFormat="1" applyFont="1" applyBorder="1"/>
    <xf numFmtId="170" fontId="37" fillId="0" borderId="12" xfId="3" applyNumberFormat="1" applyFont="1" applyBorder="1"/>
    <xf numFmtId="169" fontId="0" fillId="0" borderId="12" xfId="0" applyNumberFormat="1" applyFont="1" applyBorder="1"/>
    <xf numFmtId="172" fontId="22" fillId="0" borderId="12" xfId="0" applyNumberFormat="1" applyFont="1" applyBorder="1"/>
    <xf numFmtId="172" fontId="0" fillId="0" borderId="21" xfId="0" applyNumberFormat="1" applyFont="1" applyBorder="1"/>
    <xf numFmtId="0" fontId="0" fillId="0" borderId="21" xfId="0" applyFont="1" applyBorder="1"/>
    <xf numFmtId="10" fontId="0" fillId="0" borderId="12" xfId="0" applyNumberFormat="1" applyFont="1" applyBorder="1" applyAlignment="1">
      <alignment horizontal="center"/>
    </xf>
    <xf numFmtId="170" fontId="37" fillId="0" borderId="12" xfId="3" applyNumberFormat="1" applyFont="1" applyBorder="1" applyAlignment="1">
      <alignment horizontal="center"/>
    </xf>
    <xf numFmtId="172" fontId="2" fillId="0" borderId="21" xfId="0" applyNumberFormat="1" applyFont="1" applyBorder="1"/>
    <xf numFmtId="10" fontId="2" fillId="0" borderId="12" xfId="2" applyNumberFormat="1" applyFont="1" applyBorder="1"/>
    <xf numFmtId="172" fontId="13" fillId="0" borderId="12" xfId="0" applyNumberFormat="1" applyFont="1" applyBorder="1"/>
    <xf numFmtId="172" fontId="13" fillId="0" borderId="21" xfId="0" applyNumberFormat="1" applyFont="1" applyBorder="1"/>
    <xf numFmtId="172" fontId="40" fillId="0" borderId="12" xfId="0" applyNumberFormat="1" applyFont="1" applyBorder="1"/>
    <xf numFmtId="0" fontId="2" fillId="0" borderId="12" xfId="0" applyFont="1" applyBorder="1"/>
    <xf numFmtId="174" fontId="2" fillId="0" borderId="21" xfId="0" applyNumberFormat="1" applyFont="1" applyBorder="1"/>
    <xf numFmtId="174" fontId="0" fillId="0" borderId="12" xfId="0" applyNumberFormat="1" applyFont="1" applyBorder="1"/>
    <xf numFmtId="165" fontId="1" fillId="0" borderId="12" xfId="1" applyNumberFormat="1" applyFont="1" applyBorder="1"/>
    <xf numFmtId="172" fontId="37" fillId="0" borderId="12" xfId="0" applyNumberFormat="1" applyFont="1" applyBorder="1"/>
    <xf numFmtId="170" fontId="22" fillId="0" borderId="12" xfId="0" applyNumberFormat="1" applyFont="1" applyBorder="1"/>
    <xf numFmtId="0" fontId="14" fillId="5" borderId="12" xfId="0" applyFont="1" applyFill="1" applyBorder="1" applyAlignment="1">
      <alignment horizontal="left"/>
    </xf>
    <xf numFmtId="0" fontId="22" fillId="0" borderId="12" xfId="0" applyFont="1" applyBorder="1"/>
    <xf numFmtId="0" fontId="13" fillId="0" borderId="12" xfId="0" applyFont="1" applyBorder="1"/>
    <xf numFmtId="0" fontId="2" fillId="0" borderId="20" xfId="0" applyFont="1" applyBorder="1"/>
    <xf numFmtId="2" fontId="6" fillId="0" borderId="1" xfId="0" applyNumberFormat="1" applyFont="1" applyBorder="1" applyAlignment="1">
      <alignment horizontal="right" vertical="center"/>
    </xf>
    <xf numFmtId="10" fontId="6" fillId="0" borderId="1" xfId="2" applyNumberFormat="1" applyFont="1" applyBorder="1" applyAlignment="1">
      <alignment horizontal="right" vertical="center"/>
    </xf>
    <xf numFmtId="0" fontId="2" fillId="0" borderId="11" xfId="0" applyFont="1" applyBorder="1"/>
    <xf numFmtId="0" fontId="0" fillId="0" borderId="4" xfId="0" applyBorder="1"/>
    <xf numFmtId="169" fontId="0" fillId="0" borderId="4" xfId="0" applyNumberForma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167" fontId="7" fillId="0" borderId="6" xfId="0" applyNumberFormat="1" applyFont="1" applyBorder="1"/>
    <xf numFmtId="167" fontId="7" fillId="0" borderId="7" xfId="0" applyNumberFormat="1" applyFont="1" applyBorder="1"/>
    <xf numFmtId="1" fontId="0" fillId="0" borderId="1" xfId="3" applyNumberFormat="1" applyFont="1" applyBorder="1"/>
    <xf numFmtId="1" fontId="0" fillId="0" borderId="4" xfId="3" applyNumberFormat="1" applyFont="1" applyBorder="1"/>
    <xf numFmtId="0" fontId="38" fillId="0" borderId="5" xfId="0" applyFont="1" applyBorder="1"/>
    <xf numFmtId="170" fontId="39" fillId="0" borderId="6" xfId="3" applyNumberFormat="1" applyFont="1" applyBorder="1"/>
    <xf numFmtId="170" fontId="39" fillId="0" borderId="7" xfId="3" applyNumberFormat="1" applyFont="1" applyBorder="1"/>
    <xf numFmtId="0" fontId="2" fillId="0" borderId="28" xfId="0" applyFont="1" applyBorder="1"/>
    <xf numFmtId="0" fontId="6" fillId="0" borderId="25" xfId="0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10" fontId="6" fillId="0" borderId="25" xfId="2" applyNumberFormat="1" applyFont="1" applyBorder="1" applyAlignment="1">
      <alignment horizontal="right" vertical="center"/>
    </xf>
    <xf numFmtId="0" fontId="0" fillId="0" borderId="25" xfId="0" applyBorder="1"/>
    <xf numFmtId="1" fontId="0" fillId="0" borderId="25" xfId="3" applyNumberFormat="1" applyFont="1" applyBorder="1"/>
    <xf numFmtId="1" fontId="0" fillId="0" borderId="29" xfId="3" applyNumberFormat="1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5" fillId="0" borderId="9" xfId="0" applyFont="1" applyBorder="1"/>
    <xf numFmtId="165" fontId="0" fillId="0" borderId="25" xfId="0" applyNumberFormat="1" applyFont="1" applyBorder="1"/>
    <xf numFmtId="169" fontId="0" fillId="0" borderId="25" xfId="0" applyNumberFormat="1" applyBorder="1"/>
    <xf numFmtId="0" fontId="0" fillId="0" borderId="29" xfId="0" applyBorder="1"/>
    <xf numFmtId="0" fontId="5" fillId="0" borderId="10" xfId="0" applyFont="1" applyBorder="1" applyAlignment="1">
      <alignment horizontal="right" wrapText="1"/>
    </xf>
    <xf numFmtId="171" fontId="6" fillId="0" borderId="1" xfId="2" applyNumberFormat="1" applyFont="1" applyBorder="1" applyAlignment="1">
      <alignment horizontal="right" vertical="center"/>
    </xf>
    <xf numFmtId="170" fontId="5" fillId="0" borderId="1" xfId="3" applyNumberFormat="1" applyFont="1" applyBorder="1"/>
    <xf numFmtId="178" fontId="0" fillId="0" borderId="1" xfId="0" applyNumberFormat="1" applyBorder="1"/>
    <xf numFmtId="0" fontId="0" fillId="0" borderId="28" xfId="0" applyBorder="1"/>
    <xf numFmtId="0" fontId="0" fillId="0" borderId="25" xfId="0" applyBorder="1" applyAlignment="1">
      <alignment horizontal="center"/>
    </xf>
    <xf numFmtId="0" fontId="5" fillId="0" borderId="25" xfId="0" applyFont="1" applyBorder="1" applyAlignment="1">
      <alignment horizontal="right"/>
    </xf>
    <xf numFmtId="165" fontId="2" fillId="0" borderId="25" xfId="0" applyNumberFormat="1" applyFont="1" applyBorder="1"/>
    <xf numFmtId="165" fontId="2" fillId="0" borderId="29" xfId="0" applyNumberFormat="1" applyFont="1" applyBorder="1"/>
    <xf numFmtId="0" fontId="3" fillId="0" borderId="10" xfId="0" applyFont="1" applyBorder="1" applyAlignment="1">
      <alignment horizontal="center"/>
    </xf>
    <xf numFmtId="167" fontId="13" fillId="0" borderId="6" xfId="0" applyNumberFormat="1" applyFont="1" applyBorder="1"/>
    <xf numFmtId="167" fontId="13" fillId="0" borderId="7" xfId="0" applyNumberFormat="1" applyFont="1" applyBorder="1"/>
    <xf numFmtId="0" fontId="26" fillId="6" borderId="12" xfId="0" applyFont="1" applyFill="1" applyBorder="1"/>
    <xf numFmtId="0" fontId="0" fillId="6" borderId="14" xfId="0" applyFill="1" applyBorder="1"/>
    <xf numFmtId="170" fontId="7" fillId="0" borderId="1" xfId="3" applyNumberFormat="1" applyFont="1" applyBorder="1"/>
    <xf numFmtId="179" fontId="2" fillId="0" borderId="30" xfId="0" applyNumberFormat="1" applyFont="1" applyFill="1" applyBorder="1"/>
    <xf numFmtId="179" fontId="2" fillId="0" borderId="31" xfId="0" applyNumberFormat="1" applyFont="1" applyFill="1" applyBorder="1"/>
    <xf numFmtId="179" fontId="14" fillId="0" borderId="4" xfId="0" applyNumberFormat="1" applyFont="1" applyBorder="1"/>
    <xf numFmtId="179" fontId="14" fillId="0" borderId="11" xfId="3" applyNumberFormat="1" applyFont="1" applyBorder="1"/>
    <xf numFmtId="179" fontId="14" fillId="0" borderId="4" xfId="3" applyNumberFormat="1" applyFont="1" applyBorder="1"/>
    <xf numFmtId="179" fontId="14" fillId="0" borderId="11" xfId="2" applyNumberFormat="1" applyFont="1" applyBorder="1"/>
    <xf numFmtId="179" fontId="14" fillId="0" borderId="4" xfId="2" applyNumberFormat="1" applyFont="1" applyBorder="1"/>
    <xf numFmtId="179" fontId="14" fillId="0" borderId="30" xfId="2" applyNumberFormat="1" applyFont="1" applyBorder="1"/>
    <xf numFmtId="179" fontId="14" fillId="0" borderId="31" xfId="2" applyNumberFormat="1" applyFont="1" applyBorder="1"/>
    <xf numFmtId="179" fontId="14" fillId="0" borderId="32" xfId="3" applyNumberFormat="1" applyFont="1" applyBorder="1"/>
    <xf numFmtId="0" fontId="45" fillId="0" borderId="0" xfId="0" applyFont="1" applyBorder="1"/>
    <xf numFmtId="0" fontId="5" fillId="3" borderId="15" xfId="0" applyFont="1" applyFill="1" applyBorder="1"/>
    <xf numFmtId="3" fontId="28" fillId="0" borderId="22" xfId="2" applyNumberFormat="1" applyFont="1" applyBorder="1"/>
    <xf numFmtId="3" fontId="15" fillId="0" borderId="22" xfId="2" applyNumberFormat="1" applyFont="1" applyBorder="1"/>
    <xf numFmtId="0" fontId="11" fillId="0" borderId="30" xfId="0" applyFont="1" applyFill="1" applyBorder="1"/>
    <xf numFmtId="0" fontId="4" fillId="0" borderId="11" xfId="0" applyFont="1" applyBorder="1"/>
    <xf numFmtId="0" fontId="21" fillId="0" borderId="11" xfId="0" applyFont="1" applyBorder="1"/>
    <xf numFmtId="0" fontId="21" fillId="0" borderId="30" xfId="0" applyFont="1" applyBorder="1"/>
    <xf numFmtId="0" fontId="11" fillId="0" borderId="30" xfId="0" applyFont="1" applyBorder="1"/>
    <xf numFmtId="177" fontId="18" fillId="5" borderId="1" xfId="0" applyNumberFormat="1" applyFont="1" applyFill="1" applyBorder="1"/>
    <xf numFmtId="177" fontId="18" fillId="8" borderId="1" xfId="0" applyNumberFormat="1" applyFont="1" applyFill="1" applyBorder="1"/>
    <xf numFmtId="177" fontId="18" fillId="0" borderId="1" xfId="0" applyNumberFormat="1" applyFont="1" applyBorder="1"/>
    <xf numFmtId="3" fontId="18" fillId="0" borderId="2" xfId="2" applyNumberFormat="1" applyFont="1" applyBorder="1"/>
    <xf numFmtId="3" fontId="18" fillId="0" borderId="3" xfId="2" applyNumberFormat="1" applyFont="1" applyBorder="1"/>
    <xf numFmtId="3" fontId="18" fillId="0" borderId="27" xfId="2" applyNumberFormat="1" applyFont="1" applyBorder="1"/>
    <xf numFmtId="177" fontId="18" fillId="5" borderId="11" xfId="0" applyNumberFormat="1" applyFont="1" applyFill="1" applyBorder="1"/>
    <xf numFmtId="177" fontId="18" fillId="5" borderId="4" xfId="0" applyNumberFormat="1" applyFont="1" applyFill="1" applyBorder="1"/>
    <xf numFmtId="177" fontId="18" fillId="8" borderId="11" xfId="0" applyNumberFormat="1" applyFont="1" applyFill="1" applyBorder="1" applyAlignment="1">
      <alignment horizontal="center"/>
    </xf>
    <xf numFmtId="177" fontId="18" fillId="8" borderId="4" xfId="0" applyNumberFormat="1" applyFont="1" applyFill="1" applyBorder="1"/>
    <xf numFmtId="177" fontId="18" fillId="0" borderId="4" xfId="0" applyNumberFormat="1" applyFont="1" applyBorder="1"/>
    <xf numFmtId="177" fontId="18" fillId="0" borderId="11" xfId="0" applyNumberFormat="1" applyFont="1" applyBorder="1" applyAlignment="1">
      <alignment horizontal="center"/>
    </xf>
    <xf numFmtId="3" fontId="18" fillId="0" borderId="5" xfId="2" applyNumberFormat="1" applyFont="1" applyBorder="1"/>
    <xf numFmtId="3" fontId="18" fillId="0" borderId="6" xfId="2" applyNumberFormat="1" applyFont="1" applyBorder="1"/>
    <xf numFmtId="3" fontId="18" fillId="0" borderId="7" xfId="2" applyNumberFormat="1" applyFont="1" applyBorder="1"/>
    <xf numFmtId="177" fontId="2" fillId="0" borderId="0" xfId="0" applyNumberFormat="1" applyFont="1" applyFill="1" applyBorder="1"/>
    <xf numFmtId="165" fontId="18" fillId="0" borderId="0" xfId="0" applyNumberFormat="1" applyFont="1"/>
    <xf numFmtId="0" fontId="2" fillId="0" borderId="33" xfId="0" applyFont="1" applyFill="1" applyBorder="1"/>
    <xf numFmtId="0" fontId="17" fillId="0" borderId="33" xfId="0" applyFont="1" applyFill="1" applyBorder="1"/>
    <xf numFmtId="0" fontId="21" fillId="0" borderId="0" xfId="0" applyFont="1" applyBorder="1"/>
    <xf numFmtId="0" fontId="2" fillId="0" borderId="0" xfId="0" applyFont="1" applyFill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5" fontId="18" fillId="0" borderId="1" xfId="0" applyNumberFormat="1" applyFont="1" applyBorder="1"/>
    <xf numFmtId="0" fontId="2" fillId="0" borderId="1" xfId="0" applyFont="1" applyFill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0" fontId="0" fillId="0" borderId="1" xfId="0" applyNumberFormat="1" applyBorder="1"/>
    <xf numFmtId="0" fontId="2" fillId="0" borderId="30" xfId="0" applyFont="1" applyFill="1" applyBorder="1"/>
    <xf numFmtId="0" fontId="2" fillId="0" borderId="31" xfId="0" applyFont="1" applyFill="1" applyBorder="1"/>
    <xf numFmtId="0" fontId="0" fillId="0" borderId="30" xfId="0" applyBorder="1"/>
    <xf numFmtId="0" fontId="0" fillId="0" borderId="31" xfId="0" applyBorder="1"/>
    <xf numFmtId="173" fontId="0" fillId="0" borderId="11" xfId="0" applyNumberFormat="1" applyBorder="1"/>
    <xf numFmtId="173" fontId="0" fillId="0" borderId="4" xfId="0" applyNumberFormat="1" applyBorder="1"/>
    <xf numFmtId="10" fontId="0" fillId="0" borderId="11" xfId="2" applyNumberFormat="1" applyFont="1" applyBorder="1"/>
    <xf numFmtId="170" fontId="37" fillId="0" borderId="11" xfId="3" applyNumberFormat="1" applyFont="1" applyBorder="1"/>
    <xf numFmtId="170" fontId="37" fillId="0" borderId="4" xfId="3" applyNumberFormat="1" applyFont="1" applyBorder="1"/>
    <xf numFmtId="169" fontId="0" fillId="0" borderId="11" xfId="0" applyNumberFormat="1" applyBorder="1"/>
    <xf numFmtId="172" fontId="19" fillId="0" borderId="11" xfId="0" applyNumberFormat="1" applyFont="1" applyBorder="1"/>
    <xf numFmtId="172" fontId="2" fillId="0" borderId="30" xfId="0" applyNumberFormat="1" applyFont="1" applyBorder="1"/>
    <xf numFmtId="10" fontId="0" fillId="0" borderId="11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70" fontId="37" fillId="0" borderId="11" xfId="3" applyNumberFormat="1" applyFont="1" applyBorder="1" applyAlignment="1">
      <alignment horizontal="center"/>
    </xf>
    <xf numFmtId="170" fontId="37" fillId="0" borderId="4" xfId="3" applyNumberFormat="1" applyFont="1" applyBorder="1" applyAlignment="1">
      <alignment horizontal="center"/>
    </xf>
    <xf numFmtId="172" fontId="19" fillId="0" borderId="4" xfId="0" applyNumberFormat="1" applyFont="1" applyBorder="1"/>
    <xf numFmtId="10" fontId="1" fillId="0" borderId="11" xfId="2" applyNumberFormat="1" applyFont="1" applyBorder="1"/>
    <xf numFmtId="10" fontId="1" fillId="0" borderId="4" xfId="2" applyNumberFormat="1" applyFont="1" applyBorder="1"/>
    <xf numFmtId="172" fontId="12" fillId="0" borderId="30" xfId="0" applyNumberFormat="1" applyFont="1" applyBorder="1"/>
    <xf numFmtId="172" fontId="12" fillId="0" borderId="31" xfId="0" applyNumberFormat="1" applyFont="1" applyBorder="1"/>
    <xf numFmtId="172" fontId="37" fillId="0" borderId="11" xfId="0" applyNumberFormat="1" applyFont="1" applyBorder="1"/>
    <xf numFmtId="172" fontId="13" fillId="0" borderId="17" xfId="0" applyNumberFormat="1" applyFont="1" applyBorder="1"/>
    <xf numFmtId="172" fontId="13" fillId="0" borderId="4" xfId="0" applyNumberFormat="1" applyFont="1" applyBorder="1"/>
    <xf numFmtId="172" fontId="0" fillId="0" borderId="11" xfId="0" applyNumberFormat="1" applyFont="1" applyBorder="1"/>
    <xf numFmtId="172" fontId="0" fillId="0" borderId="4" xfId="0" applyNumberFormat="1" applyFont="1" applyBorder="1"/>
    <xf numFmtId="172" fontId="37" fillId="0" borderId="4" xfId="0" applyNumberFormat="1" applyFont="1" applyBorder="1"/>
    <xf numFmtId="10" fontId="0" fillId="0" borderId="4" xfId="2" applyNumberFormat="1" applyFont="1" applyBorder="1"/>
    <xf numFmtId="165" fontId="0" fillId="0" borderId="4" xfId="0" applyNumberFormat="1" applyFont="1" applyBorder="1"/>
    <xf numFmtId="172" fontId="12" fillId="0" borderId="4" xfId="0" applyNumberFormat="1" applyFont="1" applyBorder="1"/>
    <xf numFmtId="172" fontId="0" fillId="0" borderId="30" xfId="0" applyNumberFormat="1" applyFont="1" applyBorder="1"/>
    <xf numFmtId="0" fontId="0" fillId="0" borderId="31" xfId="0" applyFont="1" applyBorder="1"/>
    <xf numFmtId="174" fontId="0" fillId="0" borderId="30" xfId="0" applyNumberFormat="1" applyFont="1" applyBorder="1"/>
    <xf numFmtId="174" fontId="0" fillId="0" borderId="11" xfId="0" applyNumberFormat="1" applyBorder="1"/>
    <xf numFmtId="165" fontId="1" fillId="0" borderId="11" xfId="1" applyNumberFormat="1" applyFont="1" applyBorder="1"/>
    <xf numFmtId="165" fontId="1" fillId="0" borderId="4" xfId="1" applyNumberFormat="1" applyFont="1" applyBorder="1"/>
    <xf numFmtId="174" fontId="0" fillId="0" borderId="30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0" fontId="12" fillId="0" borderId="11" xfId="0" applyNumberFormat="1" applyFont="1" applyBorder="1"/>
    <xf numFmtId="0" fontId="0" fillId="0" borderId="11" xfId="0" applyBorder="1" applyAlignment="1">
      <alignment horizontal="center"/>
    </xf>
    <xf numFmtId="10" fontId="0" fillId="0" borderId="4" xfId="0" applyNumberFormat="1" applyBorder="1"/>
    <xf numFmtId="0" fontId="12" fillId="0" borderId="11" xfId="0" applyFont="1" applyBorder="1"/>
    <xf numFmtId="1" fontId="12" fillId="0" borderId="4" xfId="0" applyNumberFormat="1" applyFont="1" applyBorder="1"/>
    <xf numFmtId="0" fontId="12" fillId="0" borderId="4" xfId="0" applyFont="1" applyBorder="1"/>
    <xf numFmtId="0" fontId="12" fillId="0" borderId="4" xfId="0" applyFont="1" applyFill="1" applyBorder="1"/>
    <xf numFmtId="171" fontId="17" fillId="0" borderId="1" xfId="2" applyNumberFormat="1" applyFont="1" applyBorder="1"/>
    <xf numFmtId="171" fontId="1" fillId="0" borderId="12" xfId="2" applyNumberFormat="1" applyFont="1" applyBorder="1"/>
    <xf numFmtId="171" fontId="0" fillId="0" borderId="11" xfId="2" applyNumberFormat="1" applyFont="1" applyBorder="1"/>
    <xf numFmtId="171" fontId="0" fillId="0" borderId="1" xfId="2" applyNumberFormat="1" applyFont="1" applyBorder="1"/>
    <xf numFmtId="171" fontId="0" fillId="0" borderId="4" xfId="2" applyNumberFormat="1" applyFont="1" applyBorder="1"/>
    <xf numFmtId="172" fontId="12" fillId="0" borderId="11" xfId="0" applyNumberFormat="1" applyFont="1" applyBorder="1"/>
    <xf numFmtId="0" fontId="0" fillId="3" borderId="11" xfId="0" applyFill="1" applyBorder="1"/>
    <xf numFmtId="0" fontId="4" fillId="3" borderId="11" xfId="0" applyFont="1" applyFill="1" applyBorder="1"/>
    <xf numFmtId="0" fontId="14" fillId="7" borderId="1" xfId="0" applyFont="1" applyFill="1" applyBorder="1"/>
    <xf numFmtId="0" fontId="4" fillId="7" borderId="1" xfId="0" applyFont="1" applyFill="1" applyBorder="1"/>
    <xf numFmtId="0" fontId="21" fillId="7" borderId="26" xfId="0" applyFont="1" applyFill="1" applyBorder="1"/>
    <xf numFmtId="6" fontId="22" fillId="0" borderId="1" xfId="0" applyNumberFormat="1" applyFont="1" applyBorder="1"/>
    <xf numFmtId="0" fontId="21" fillId="7" borderId="1" xfId="0" applyFont="1" applyFill="1" applyBorder="1"/>
    <xf numFmtId="0" fontId="21" fillId="5" borderId="1" xfId="0" applyFont="1" applyFill="1" applyBorder="1"/>
    <xf numFmtId="0" fontId="20" fillId="5" borderId="1" xfId="0" applyFont="1" applyFill="1" applyBorder="1"/>
    <xf numFmtId="0" fontId="29" fillId="0" borderId="1" xfId="0" applyFont="1" applyBorder="1"/>
    <xf numFmtId="0" fontId="0" fillId="0" borderId="11" xfId="0" applyBorder="1"/>
    <xf numFmtId="179" fontId="14" fillId="0" borderId="14" xfId="2" applyNumberFormat="1" applyFont="1" applyBorder="1"/>
    <xf numFmtId="179" fontId="14" fillId="0" borderId="14" xfId="3" applyNumberFormat="1" applyFont="1" applyBorder="1"/>
    <xf numFmtId="165" fontId="12" fillId="0" borderId="0" xfId="0" applyNumberFormat="1" applyFont="1" applyBorder="1" applyAlignment="1">
      <alignment horizontal="right" vertical="center"/>
    </xf>
    <xf numFmtId="0" fontId="17" fillId="0" borderId="36" xfId="0" applyFont="1" applyFill="1" applyBorder="1"/>
    <xf numFmtId="3" fontId="28" fillId="0" borderId="21" xfId="2" applyNumberFormat="1" applyFont="1" applyBorder="1"/>
    <xf numFmtId="3" fontId="28" fillId="0" borderId="26" xfId="2" applyNumberFormat="1" applyFont="1" applyBorder="1"/>
    <xf numFmtId="179" fontId="14" fillId="8" borderId="11" xfId="0" applyNumberFormat="1" applyFont="1" applyFill="1" applyBorder="1" applyAlignment="1">
      <alignment horizontal="center"/>
    </xf>
    <xf numFmtId="179" fontId="14" fillId="0" borderId="11" xfId="3" applyNumberFormat="1" applyFont="1" applyBorder="1" applyAlignment="1">
      <alignment horizontal="center"/>
    </xf>
    <xf numFmtId="179" fontId="15" fillId="0" borderId="17" xfId="3" applyNumberFormat="1" applyFont="1" applyBorder="1"/>
    <xf numFmtId="179" fontId="14" fillId="0" borderId="5" xfId="2" applyNumberFormat="1" applyFont="1" applyBorder="1"/>
    <xf numFmtId="179" fontId="14" fillId="0" borderId="6" xfId="2" applyNumberFormat="1" applyFont="1" applyBorder="1"/>
    <xf numFmtId="179" fontId="14" fillId="0" borderId="7" xfId="2" applyNumberFormat="1" applyFont="1" applyBorder="1"/>
    <xf numFmtId="0" fontId="2" fillId="0" borderId="0" xfId="0" applyFont="1" applyBorder="1" applyAlignment="1">
      <alignment horizontal="center"/>
    </xf>
    <xf numFmtId="3" fontId="28" fillId="0" borderId="20" xfId="2" applyNumberFormat="1" applyFont="1" applyBorder="1"/>
    <xf numFmtId="0" fontId="1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/>
    <xf numFmtId="0" fontId="24" fillId="0" borderId="0" xfId="0" applyFont="1" applyBorder="1"/>
    <xf numFmtId="0" fontId="22" fillId="0" borderId="0" xfId="0" applyFont="1" applyBorder="1"/>
    <xf numFmtId="0" fontId="27" fillId="0" borderId="0" xfId="0" applyFont="1" applyFill="1" applyBorder="1"/>
    <xf numFmtId="10" fontId="12" fillId="5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0" fontId="25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10" fontId="26" fillId="0" borderId="0" xfId="2" applyNumberFormat="1" applyFont="1" applyFill="1" applyBorder="1"/>
    <xf numFmtId="165" fontId="27" fillId="0" borderId="0" xfId="2" applyNumberFormat="1" applyFont="1" applyFill="1" applyBorder="1"/>
    <xf numFmtId="165" fontId="12" fillId="0" borderId="0" xfId="2" applyNumberFormat="1" applyFont="1" applyFill="1" applyBorder="1"/>
    <xf numFmtId="165" fontId="11" fillId="0" borderId="0" xfId="2" applyNumberFormat="1" applyFont="1" applyFill="1" applyBorder="1"/>
    <xf numFmtId="166" fontId="26" fillId="0" borderId="0" xfId="0" applyNumberFormat="1" applyFont="1" applyFill="1" applyBorder="1" applyAlignment="1">
      <alignment horizontal="right"/>
    </xf>
    <xf numFmtId="0" fontId="24" fillId="0" borderId="0" xfId="0" quotePrefix="1" applyFont="1"/>
    <xf numFmtId="0" fontId="51" fillId="0" borderId="0" xfId="0" applyFont="1"/>
    <xf numFmtId="0" fontId="2" fillId="0" borderId="24" xfId="0" applyFont="1" applyFill="1" applyBorder="1" applyAlignment="1">
      <alignment horizontal="center" vertical="center"/>
    </xf>
    <xf numFmtId="165" fontId="18" fillId="0" borderId="24" xfId="0" applyNumberFormat="1" applyFont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165" fontId="12" fillId="0" borderId="40" xfId="0" applyNumberFormat="1" applyFont="1" applyBorder="1" applyAlignment="1">
      <alignment horizontal="right" vertical="center"/>
    </xf>
    <xf numFmtId="165" fontId="12" fillId="0" borderId="41" xfId="0" applyNumberFormat="1" applyFont="1" applyBorder="1" applyAlignment="1">
      <alignment horizontal="right" vertical="center"/>
    </xf>
    <xf numFmtId="165" fontId="12" fillId="0" borderId="43" xfId="0" applyNumberFormat="1" applyFont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165" fontId="12" fillId="0" borderId="47" xfId="0" applyNumberFormat="1" applyFont="1" applyBorder="1" applyAlignment="1">
      <alignment horizontal="right" vertical="center"/>
    </xf>
    <xf numFmtId="165" fontId="12" fillId="0" borderId="48" xfId="0" applyNumberFormat="1" applyFont="1" applyBorder="1" applyAlignment="1">
      <alignment horizontal="right" vertical="center"/>
    </xf>
    <xf numFmtId="165" fontId="12" fillId="0" borderId="40" xfId="0" applyNumberFormat="1" applyFont="1" applyBorder="1"/>
    <xf numFmtId="165" fontId="12" fillId="0" borderId="41" xfId="0" applyNumberFormat="1" applyFont="1" applyBorder="1"/>
    <xf numFmtId="177" fontId="18" fillId="0" borderId="11" xfId="0" applyNumberFormat="1" applyFont="1" applyBorder="1" applyAlignment="1">
      <alignment horizontal="left"/>
    </xf>
    <xf numFmtId="177" fontId="18" fillId="0" borderId="1" xfId="0" applyNumberFormat="1" applyFont="1" applyBorder="1" applyAlignment="1">
      <alignment horizontal="left"/>
    </xf>
    <xf numFmtId="0" fontId="21" fillId="0" borderId="0" xfId="0" applyFont="1" applyBorder="1"/>
    <xf numFmtId="0" fontId="2" fillId="0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8" fillId="0" borderId="37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2" fillId="0" borderId="12" xfId="0" applyFont="1" applyFill="1" applyBorder="1"/>
    <xf numFmtId="0" fontId="2" fillId="0" borderId="34" xfId="0" applyFont="1" applyFill="1" applyBorder="1"/>
    <xf numFmtId="0" fontId="2" fillId="0" borderId="14" xfId="0" applyFont="1" applyFill="1" applyBorder="1"/>
    <xf numFmtId="0" fontId="12" fillId="0" borderId="35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26" fillId="9" borderId="1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5C800"/>
      <color rgb="FF0066FF"/>
      <color rgb="FF0070C4"/>
      <color rgb="FFFFFFCC"/>
      <color rgb="FFFFFF99"/>
      <color rgb="FF00FF00"/>
      <color rgb="FF06BEF8"/>
      <color rgb="FF3737FF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125506</xdr:colOff>
      <xdr:row>0</xdr:row>
      <xdr:rowOff>0</xdr:rowOff>
    </xdr:from>
    <xdr:to>
      <xdr:col>1</xdr:col>
      <xdr:colOff>1828800</xdr:colOff>
      <xdr:row>4</xdr:row>
      <xdr:rowOff>114957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65" y="0"/>
          <a:ext cx="1703294" cy="1029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125506</xdr:colOff>
      <xdr:row>0</xdr:row>
      <xdr:rowOff>0</xdr:rowOff>
    </xdr:from>
    <xdr:to>
      <xdr:col>1</xdr:col>
      <xdr:colOff>1828800</xdr:colOff>
      <xdr:row>4</xdr:row>
      <xdr:rowOff>116227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353FE-FD06-4634-826A-B49A7364C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36" y="0"/>
          <a:ext cx="1704564" cy="10293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1183797</xdr:colOff>
      <xdr:row>1</xdr:row>
      <xdr:rowOff>187193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180" y="0"/>
          <a:ext cx="1192911" cy="449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171"/>
  <sheetViews>
    <sheetView tabSelected="1" zoomScale="80" zoomScaleNormal="80" workbookViewId="0">
      <selection activeCell="A155" sqref="A155"/>
    </sheetView>
  </sheetViews>
  <sheetFormatPr defaultRowHeight="15" x14ac:dyDescent="0.25"/>
  <cols>
    <col min="1" max="1" width="0.5703125" customWidth="1"/>
    <col min="2" max="2" width="52" customWidth="1"/>
    <col min="3" max="3" width="12.7109375" customWidth="1"/>
    <col min="4" max="4" width="13.28515625" customWidth="1"/>
    <col min="5" max="5" width="11.42578125" customWidth="1"/>
    <col min="6" max="6" width="11.7109375" customWidth="1"/>
    <col min="7" max="11" width="12.85546875" customWidth="1"/>
    <col min="12" max="34" width="11.7109375" customWidth="1"/>
    <col min="35" max="35" width="9.5703125" bestFit="1" customWidth="1"/>
    <col min="36" max="36" width="10.5703125" bestFit="1" customWidth="1"/>
  </cols>
  <sheetData>
    <row r="1" spans="2:16" ht="21" x14ac:dyDescent="0.35">
      <c r="D1" s="36" t="s">
        <v>161</v>
      </c>
    </row>
    <row r="2" spans="2:16" ht="21" x14ac:dyDescent="0.35">
      <c r="D2" s="384" t="s">
        <v>163</v>
      </c>
    </row>
    <row r="3" spans="2:16" ht="15.6" customHeight="1" x14ac:dyDescent="0.35">
      <c r="D3" s="383" t="s">
        <v>159</v>
      </c>
    </row>
    <row r="4" spans="2:16" x14ac:dyDescent="0.25">
      <c r="D4" s="75" t="s">
        <v>33</v>
      </c>
      <c r="G4" t="s">
        <v>30</v>
      </c>
      <c r="H4" s="74">
        <v>44343</v>
      </c>
    </row>
    <row r="5" spans="2:16" x14ac:dyDescent="0.25">
      <c r="D5" s="26"/>
    </row>
    <row r="6" spans="2:16" ht="18.75" x14ac:dyDescent="0.3">
      <c r="B6" s="69" t="s">
        <v>34</v>
      </c>
      <c r="D6" s="26"/>
    </row>
    <row r="7" spans="2:16" ht="18.75" x14ac:dyDescent="0.3">
      <c r="B7" s="89" t="s">
        <v>130</v>
      </c>
      <c r="D7" s="26"/>
    </row>
    <row r="8" spans="2:16" ht="18.75" x14ac:dyDescent="0.3">
      <c r="B8" s="88" t="s">
        <v>35</v>
      </c>
      <c r="D8" s="88" t="s">
        <v>39</v>
      </c>
    </row>
    <row r="9" spans="2:16" ht="18.75" x14ac:dyDescent="0.3">
      <c r="B9" s="88" t="s">
        <v>36</v>
      </c>
      <c r="D9" s="88" t="s">
        <v>40</v>
      </c>
    </row>
    <row r="10" spans="2:16" ht="18.75" x14ac:dyDescent="0.3">
      <c r="B10" s="88" t="s">
        <v>37</v>
      </c>
      <c r="D10" s="88" t="s">
        <v>41</v>
      </c>
    </row>
    <row r="11" spans="2:16" ht="18.75" x14ac:dyDescent="0.3">
      <c r="B11" s="88" t="s">
        <v>38</v>
      </c>
      <c r="D11" s="88" t="s">
        <v>42</v>
      </c>
    </row>
    <row r="12" spans="2:16" ht="18.75" x14ac:dyDescent="0.3">
      <c r="B12" s="88"/>
    </row>
    <row r="13" spans="2:16" x14ac:dyDescent="0.25">
      <c r="C13" s="26"/>
      <c r="G13" s="5"/>
      <c r="H13" s="5"/>
      <c r="I13" s="5"/>
      <c r="J13" s="5"/>
      <c r="K13" s="5"/>
      <c r="L13" s="5"/>
      <c r="M13" s="5"/>
      <c r="N13" s="5"/>
    </row>
    <row r="14" spans="2:16" ht="21" x14ac:dyDescent="0.35">
      <c r="B14" s="166" t="s">
        <v>116</v>
      </c>
      <c r="C14" s="26"/>
      <c r="G14" s="5"/>
      <c r="H14" s="371"/>
      <c r="I14" s="372"/>
      <c r="J14" s="372"/>
      <c r="K14" s="372"/>
      <c r="L14" s="5"/>
      <c r="M14" s="5"/>
      <c r="N14" s="5"/>
    </row>
    <row r="15" spans="2:16" ht="18" x14ac:dyDescent="0.3">
      <c r="B15" s="144" t="s">
        <v>10</v>
      </c>
      <c r="C15" s="37">
        <f>10081522000/1000000</f>
        <v>10081.522000000001</v>
      </c>
      <c r="D15" s="31"/>
      <c r="G15" s="5"/>
      <c r="H15" s="373"/>
      <c r="I15" s="373"/>
      <c r="J15" s="373"/>
      <c r="K15" s="373"/>
      <c r="L15" s="374"/>
      <c r="M15" s="374"/>
      <c r="N15" s="25"/>
      <c r="O15" s="25"/>
      <c r="P15" s="78"/>
    </row>
    <row r="16" spans="2:16" ht="15.75" x14ac:dyDescent="0.25">
      <c r="B16" s="144" t="s">
        <v>15</v>
      </c>
      <c r="C16" s="38">
        <v>73.7</v>
      </c>
      <c r="D16" s="31"/>
      <c r="G16" s="5"/>
      <c r="H16" s="375"/>
      <c r="I16" s="375"/>
      <c r="J16" s="375"/>
      <c r="K16" s="375"/>
      <c r="L16" s="376"/>
      <c r="M16" s="376"/>
      <c r="N16" s="79"/>
      <c r="O16" s="79"/>
      <c r="P16" s="78"/>
    </row>
    <row r="17" spans="2:21" ht="18.75" x14ac:dyDescent="0.3">
      <c r="B17" s="145" t="s">
        <v>12</v>
      </c>
      <c r="C17" s="39">
        <v>0.01</v>
      </c>
      <c r="D17" s="31"/>
      <c r="G17" s="5"/>
      <c r="H17" s="377"/>
      <c r="I17" s="377"/>
      <c r="J17" s="377"/>
      <c r="K17" s="377"/>
      <c r="L17" s="378"/>
      <c r="M17" s="378"/>
      <c r="N17" s="79"/>
      <c r="O17" s="79"/>
      <c r="P17" s="78"/>
    </row>
    <row r="18" spans="2:21" ht="18.75" x14ac:dyDescent="0.3">
      <c r="B18" s="145" t="s">
        <v>93</v>
      </c>
      <c r="C18" s="92">
        <v>0</v>
      </c>
      <c r="D18" s="31"/>
      <c r="G18" s="5"/>
      <c r="H18" s="379"/>
      <c r="I18" s="380"/>
      <c r="J18" s="381"/>
      <c r="K18" s="380"/>
      <c r="L18" s="382"/>
      <c r="M18" s="382"/>
      <c r="N18" s="79"/>
      <c r="O18" s="79"/>
    </row>
    <row r="19" spans="2:21" ht="15.75" x14ac:dyDescent="0.25">
      <c r="B19" s="145" t="s">
        <v>20</v>
      </c>
      <c r="C19" s="40">
        <v>0.88</v>
      </c>
      <c r="D19" s="31"/>
      <c r="G19" s="5"/>
      <c r="H19" s="5"/>
      <c r="I19" s="5"/>
      <c r="J19" s="5"/>
      <c r="K19" s="79"/>
      <c r="L19" s="79"/>
      <c r="M19" s="79"/>
      <c r="N19" s="79"/>
      <c r="O19" s="79"/>
    </row>
    <row r="20" spans="2:21" ht="15.75" x14ac:dyDescent="0.25">
      <c r="B20" s="145" t="s">
        <v>18</v>
      </c>
      <c r="C20" s="41">
        <v>6.5</v>
      </c>
      <c r="D20" s="31"/>
      <c r="E20" s="71"/>
      <c r="F20" s="71"/>
      <c r="G20" s="71"/>
      <c r="H20" s="25"/>
      <c r="I20" s="25"/>
      <c r="J20" s="25"/>
      <c r="K20" s="25"/>
      <c r="L20" s="25"/>
      <c r="M20" s="25"/>
      <c r="N20" s="25"/>
      <c r="O20" s="25"/>
    </row>
    <row r="21" spans="2:21" ht="15.75" x14ac:dyDescent="0.25">
      <c r="B21" s="145" t="s">
        <v>13</v>
      </c>
      <c r="C21" s="39">
        <v>0.01</v>
      </c>
      <c r="D21" s="31"/>
      <c r="E21" s="31"/>
      <c r="F21" s="31"/>
      <c r="G21" s="31"/>
      <c r="U21" s="19"/>
    </row>
    <row r="22" spans="2:21" ht="15.75" x14ac:dyDescent="0.25">
      <c r="B22" s="145" t="s">
        <v>14</v>
      </c>
      <c r="C22" s="40">
        <v>7.0000000000000007E-2</v>
      </c>
      <c r="D22" s="31"/>
      <c r="E22" s="31"/>
      <c r="F22" s="31"/>
      <c r="G22" s="31"/>
    </row>
    <row r="23" spans="2:21" ht="15.75" x14ac:dyDescent="0.25">
      <c r="B23" s="145" t="s">
        <v>165</v>
      </c>
      <c r="C23" s="167">
        <v>0.04</v>
      </c>
      <c r="D23" s="31"/>
      <c r="E23" s="31"/>
      <c r="G23" s="31"/>
      <c r="U23" s="149"/>
    </row>
    <row r="24" spans="2:21" ht="15.75" x14ac:dyDescent="0.25">
      <c r="B24" s="145"/>
      <c r="C24" s="153">
        <v>2020</v>
      </c>
      <c r="D24" s="31">
        <v>2025</v>
      </c>
      <c r="E24" s="31">
        <v>2030</v>
      </c>
      <c r="F24" s="31">
        <v>2035</v>
      </c>
      <c r="G24" s="31">
        <v>2040</v>
      </c>
      <c r="H24" s="71">
        <v>2045</v>
      </c>
      <c r="I24" s="71">
        <v>2050</v>
      </c>
      <c r="U24" s="149"/>
    </row>
    <row r="25" spans="2:21" ht="18.75" x14ac:dyDescent="0.35">
      <c r="B25" s="145" t="s">
        <v>94</v>
      </c>
      <c r="C25" s="122">
        <v>76</v>
      </c>
      <c r="D25" s="155">
        <v>83</v>
      </c>
      <c r="E25" s="155">
        <v>89</v>
      </c>
      <c r="F25" s="38">
        <v>96</v>
      </c>
      <c r="G25" s="38">
        <v>103</v>
      </c>
      <c r="H25" s="38">
        <v>110</v>
      </c>
      <c r="I25" s="38">
        <v>116</v>
      </c>
      <c r="J25" s="31" t="s">
        <v>150</v>
      </c>
      <c r="U25" s="148"/>
    </row>
    <row r="26" spans="2:21" ht="18.75" x14ac:dyDescent="0.35">
      <c r="B26" s="145" t="s">
        <v>95</v>
      </c>
      <c r="C26" s="152">
        <f>C25*0.547</f>
        <v>41.572000000000003</v>
      </c>
      <c r="D26" s="152">
        <f t="shared" ref="D26:I26" si="0">D25*0.547</f>
        <v>45.401000000000003</v>
      </c>
      <c r="E26" s="152">
        <f t="shared" si="0"/>
        <v>48.683000000000007</v>
      </c>
      <c r="F26" s="152">
        <f t="shared" si="0"/>
        <v>52.512</v>
      </c>
      <c r="G26" s="152">
        <f t="shared" si="0"/>
        <v>56.341000000000001</v>
      </c>
      <c r="H26" s="152">
        <f t="shared" si="0"/>
        <v>60.17</v>
      </c>
      <c r="I26" s="152">
        <f t="shared" si="0"/>
        <v>63.452000000000005</v>
      </c>
    </row>
    <row r="27" spans="2:21" ht="17.25" x14ac:dyDescent="0.25">
      <c r="B27" s="145" t="s">
        <v>96</v>
      </c>
      <c r="C27" s="122">
        <f>2000*86/34</f>
        <v>5058.8235294117649</v>
      </c>
      <c r="D27" s="122">
        <f>2200*86/34</f>
        <v>5564.7058823529414</v>
      </c>
      <c r="E27" s="122">
        <f>2500*86/34</f>
        <v>6323.5294117647063</v>
      </c>
      <c r="F27" s="122">
        <f>2800*86/34</f>
        <v>7082.3529411764703</v>
      </c>
      <c r="G27" s="122">
        <f>3100*86/34</f>
        <v>7841.1764705882351</v>
      </c>
      <c r="H27" s="122">
        <f>3500*86/34</f>
        <v>8852.9411764705874</v>
      </c>
      <c r="I27" s="122">
        <f>3800*86/34</f>
        <v>9611.7647058823532</v>
      </c>
      <c r="J27" s="31" t="s">
        <v>154</v>
      </c>
    </row>
    <row r="28" spans="2:21" ht="15.75" x14ac:dyDescent="0.25">
      <c r="B28" s="145" t="s">
        <v>109</v>
      </c>
      <c r="C28" s="152">
        <f>C27*Calculations!$C$109</f>
        <v>23.585682907463386</v>
      </c>
      <c r="D28" s="152">
        <f>D27*Calculations!$C$109</f>
        <v>25.944251198209724</v>
      </c>
      <c r="E28" s="152">
        <f>E27*Calculations!$C$109</f>
        <v>29.482103634329235</v>
      </c>
      <c r="F28" s="152">
        <f>F27*Calculations!$C$109</f>
        <v>33.019956070448735</v>
      </c>
      <c r="G28" s="152">
        <f>G27*Calculations!$C$109</f>
        <v>36.557808506568243</v>
      </c>
      <c r="H28" s="152">
        <f>H27*Calculations!$C$109</f>
        <v>41.274945088060917</v>
      </c>
      <c r="I28" s="152">
        <f>I27*Calculations!$C$109</f>
        <v>44.812797524180432</v>
      </c>
    </row>
    <row r="29" spans="2:21" ht="15.75" x14ac:dyDescent="0.25">
      <c r="B29" s="145" t="s">
        <v>74</v>
      </c>
      <c r="C29" s="154">
        <v>41</v>
      </c>
      <c r="D29" s="31"/>
      <c r="E29" s="31"/>
      <c r="F29" s="31"/>
      <c r="G29" s="31"/>
      <c r="J29" t="s">
        <v>164</v>
      </c>
    </row>
    <row r="30" spans="2:21" x14ac:dyDescent="0.25">
      <c r="D30" s="31"/>
      <c r="E30" s="31"/>
      <c r="F30" s="31"/>
      <c r="G30" s="31"/>
    </row>
    <row r="31" spans="2:21" x14ac:dyDescent="0.25">
      <c r="B31" s="71"/>
      <c r="C31" s="33"/>
      <c r="D31" s="31"/>
      <c r="E31" s="31"/>
      <c r="F31" s="31"/>
      <c r="G31" s="31"/>
    </row>
    <row r="32" spans="2:21" ht="21" x14ac:dyDescent="0.35">
      <c r="B32" s="139" t="s">
        <v>49</v>
      </c>
      <c r="C32" s="33"/>
      <c r="D32" s="31"/>
      <c r="E32" s="31"/>
      <c r="F32" s="96"/>
      <c r="G32" s="31"/>
    </row>
    <row r="33" spans="2:36" ht="16.5" thickBot="1" x14ac:dyDescent="0.3">
      <c r="B33" s="94" t="s">
        <v>67</v>
      </c>
      <c r="C33" s="33"/>
      <c r="D33" s="31"/>
      <c r="E33" s="31"/>
      <c r="F33" s="31"/>
      <c r="G33" s="31"/>
    </row>
    <row r="34" spans="2:36" ht="19.5" thickBot="1" x14ac:dyDescent="0.35">
      <c r="B34" s="253" t="s">
        <v>122</v>
      </c>
      <c r="C34" s="121" t="s">
        <v>58</v>
      </c>
      <c r="D34" s="170">
        <v>2020</v>
      </c>
      <c r="E34" s="44">
        <v>2021</v>
      </c>
      <c r="F34" s="42">
        <f t="shared" ref="F34:AH34" si="1">1+E34</f>
        <v>2022</v>
      </c>
      <c r="G34" s="42">
        <f t="shared" si="1"/>
        <v>2023</v>
      </c>
      <c r="H34" s="42">
        <f t="shared" si="1"/>
        <v>2024</v>
      </c>
      <c r="I34" s="42">
        <f t="shared" si="1"/>
        <v>2025</v>
      </c>
      <c r="J34" s="42">
        <f t="shared" si="1"/>
        <v>2026</v>
      </c>
      <c r="K34" s="42">
        <f t="shared" si="1"/>
        <v>2027</v>
      </c>
      <c r="L34" s="42">
        <f t="shared" si="1"/>
        <v>2028</v>
      </c>
      <c r="M34" s="42">
        <f t="shared" si="1"/>
        <v>2029</v>
      </c>
      <c r="N34" s="42">
        <f t="shared" si="1"/>
        <v>2030</v>
      </c>
      <c r="O34" s="42">
        <f t="shared" si="1"/>
        <v>2031</v>
      </c>
      <c r="P34" s="42">
        <f t="shared" si="1"/>
        <v>2032</v>
      </c>
      <c r="Q34" s="42">
        <f t="shared" si="1"/>
        <v>2033</v>
      </c>
      <c r="R34" s="42">
        <f t="shared" si="1"/>
        <v>2034</v>
      </c>
      <c r="S34" s="42">
        <f t="shared" si="1"/>
        <v>2035</v>
      </c>
      <c r="T34" s="42">
        <f t="shared" si="1"/>
        <v>2036</v>
      </c>
      <c r="U34" s="42">
        <f t="shared" si="1"/>
        <v>2037</v>
      </c>
      <c r="V34" s="42">
        <f t="shared" si="1"/>
        <v>2038</v>
      </c>
      <c r="W34" s="42">
        <f t="shared" si="1"/>
        <v>2039</v>
      </c>
      <c r="X34" s="42">
        <f t="shared" si="1"/>
        <v>2040</v>
      </c>
      <c r="Y34" s="42">
        <f t="shared" si="1"/>
        <v>2041</v>
      </c>
      <c r="Z34" s="42">
        <f t="shared" si="1"/>
        <v>2042</v>
      </c>
      <c r="AA34" s="42">
        <f t="shared" si="1"/>
        <v>2043</v>
      </c>
      <c r="AB34" s="42">
        <f t="shared" si="1"/>
        <v>2044</v>
      </c>
      <c r="AC34" s="42">
        <f t="shared" si="1"/>
        <v>2045</v>
      </c>
      <c r="AD34" s="42">
        <f t="shared" si="1"/>
        <v>2046</v>
      </c>
      <c r="AE34" s="42">
        <f t="shared" si="1"/>
        <v>2047</v>
      </c>
      <c r="AF34" s="42">
        <f t="shared" si="1"/>
        <v>2048</v>
      </c>
      <c r="AG34" s="45">
        <f t="shared" si="1"/>
        <v>2049</v>
      </c>
      <c r="AH34" s="45">
        <f t="shared" si="1"/>
        <v>2050</v>
      </c>
      <c r="AI34" s="6"/>
    </row>
    <row r="35" spans="2:36" ht="18.75" x14ac:dyDescent="0.3">
      <c r="B35" s="72" t="s">
        <v>25</v>
      </c>
      <c r="C35" s="103"/>
      <c r="D35" s="171"/>
      <c r="E35" s="29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292"/>
    </row>
    <row r="36" spans="2:36" ht="19.5" thickBot="1" x14ac:dyDescent="0.35">
      <c r="B36" s="43" t="s">
        <v>29</v>
      </c>
      <c r="C36" s="104"/>
      <c r="D36" s="172"/>
      <c r="E36" s="29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294"/>
    </row>
    <row r="37" spans="2:36" x14ac:dyDescent="0.25">
      <c r="B37" s="97" t="s">
        <v>16</v>
      </c>
      <c r="C37" s="105"/>
      <c r="D37" s="173">
        <f>C16</f>
        <v>73.7</v>
      </c>
      <c r="E37" s="295">
        <f t="shared" ref="E37:AH37" si="2">D37*(1+$C$17)</f>
        <v>74.436999999999998</v>
      </c>
      <c r="F37" s="61">
        <f t="shared" si="2"/>
        <v>75.181370000000001</v>
      </c>
      <c r="G37" s="61">
        <f t="shared" si="2"/>
        <v>75.933183700000001</v>
      </c>
      <c r="H37" s="61">
        <f t="shared" si="2"/>
        <v>76.692515537000006</v>
      </c>
      <c r="I37" s="61">
        <f t="shared" si="2"/>
        <v>77.459440692370009</v>
      </c>
      <c r="J37" s="61">
        <f t="shared" si="2"/>
        <v>78.234035099293706</v>
      </c>
      <c r="K37" s="61">
        <f t="shared" si="2"/>
        <v>79.016375450286645</v>
      </c>
      <c r="L37" s="61">
        <f t="shared" si="2"/>
        <v>79.806539204789516</v>
      </c>
      <c r="M37" s="61">
        <f t="shared" si="2"/>
        <v>80.604604596837419</v>
      </c>
      <c r="N37" s="61">
        <f t="shared" si="2"/>
        <v>81.410650642805791</v>
      </c>
      <c r="O37" s="61">
        <f t="shared" si="2"/>
        <v>82.224757149233852</v>
      </c>
      <c r="P37" s="61">
        <f t="shared" si="2"/>
        <v>83.047004720726193</v>
      </c>
      <c r="Q37" s="61">
        <f t="shared" si="2"/>
        <v>83.87747476793345</v>
      </c>
      <c r="R37" s="61">
        <f t="shared" si="2"/>
        <v>84.716249515612787</v>
      </c>
      <c r="S37" s="61">
        <f t="shared" si="2"/>
        <v>85.563412010768914</v>
      </c>
      <c r="T37" s="61">
        <f t="shared" si="2"/>
        <v>86.419046130876609</v>
      </c>
      <c r="U37" s="61">
        <f t="shared" si="2"/>
        <v>87.283236592185375</v>
      </c>
      <c r="V37" s="61">
        <f t="shared" si="2"/>
        <v>88.156068958107227</v>
      </c>
      <c r="W37" s="61">
        <f t="shared" si="2"/>
        <v>89.037629647688306</v>
      </c>
      <c r="X37" s="61">
        <f t="shared" si="2"/>
        <v>89.928005944165193</v>
      </c>
      <c r="Y37" s="61">
        <f t="shared" si="2"/>
        <v>90.827286003606844</v>
      </c>
      <c r="Z37" s="61">
        <f t="shared" si="2"/>
        <v>91.735558863642908</v>
      </c>
      <c r="AA37" s="61">
        <f t="shared" si="2"/>
        <v>92.652914452279333</v>
      </c>
      <c r="AB37" s="61">
        <f t="shared" si="2"/>
        <v>93.579443596802122</v>
      </c>
      <c r="AC37" s="61">
        <f t="shared" si="2"/>
        <v>94.515238032770142</v>
      </c>
      <c r="AD37" s="61">
        <f t="shared" si="2"/>
        <v>95.460390413097841</v>
      </c>
      <c r="AE37" s="61">
        <f t="shared" si="2"/>
        <v>96.414994317228818</v>
      </c>
      <c r="AF37" s="61">
        <f t="shared" si="2"/>
        <v>97.379144260401105</v>
      </c>
      <c r="AG37" s="61">
        <f t="shared" si="2"/>
        <v>98.352935703005116</v>
      </c>
      <c r="AH37" s="296">
        <f t="shared" si="2"/>
        <v>99.336465060035167</v>
      </c>
      <c r="AI37" s="24"/>
    </row>
    <row r="38" spans="2:36" x14ac:dyDescent="0.25">
      <c r="B38" s="98" t="s">
        <v>5</v>
      </c>
      <c r="C38" s="106"/>
      <c r="D38" s="174">
        <v>4.9000000000000002E-2</v>
      </c>
      <c r="E38" s="297">
        <v>5.0999999999999997E-2</v>
      </c>
      <c r="F38" s="52">
        <v>5.0999999999999997E-2</v>
      </c>
      <c r="G38" s="52">
        <v>5.0999999999999997E-2</v>
      </c>
      <c r="H38" s="52">
        <v>4.9000000000000002E-2</v>
      </c>
      <c r="I38" s="52">
        <v>4.8000000000000001E-2</v>
      </c>
      <c r="J38" s="52">
        <v>4.4999999999999998E-2</v>
      </c>
      <c r="K38" s="52">
        <v>4.3499999999999997E-2</v>
      </c>
      <c r="L38" s="52">
        <v>3.7400000000000003E-2</v>
      </c>
      <c r="M38" s="52">
        <v>3.0700000000000002E-2</v>
      </c>
      <c r="N38" s="52">
        <v>2.2100000000000002E-2</v>
      </c>
      <c r="O38" s="52">
        <v>1.5800000000000002E-2</v>
      </c>
      <c r="P38" s="52">
        <v>1.4E-2</v>
      </c>
      <c r="Q38" s="52">
        <v>1.0999999999999999E-2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00"/>
    </row>
    <row r="39" spans="2:36" x14ac:dyDescent="0.25">
      <c r="B39" s="98" t="s">
        <v>87</v>
      </c>
      <c r="C39" s="106"/>
      <c r="D39" s="175">
        <f>D38*D37*1000000</f>
        <v>3611300.0000000005</v>
      </c>
      <c r="E39" s="298">
        <f>E38*E37*1000000</f>
        <v>3796286.9999999995</v>
      </c>
      <c r="F39" s="136">
        <f>E39*0.996</f>
        <v>3781101.8519999995</v>
      </c>
      <c r="G39" s="136">
        <f t="shared" ref="G39:AH39" si="3">F39*0.996</f>
        <v>3765977.4445919995</v>
      </c>
      <c r="H39" s="136">
        <f t="shared" si="3"/>
        <v>3750913.5348136313</v>
      </c>
      <c r="I39" s="136">
        <f t="shared" si="3"/>
        <v>3735909.8806743766</v>
      </c>
      <c r="J39" s="136">
        <f t="shared" si="3"/>
        <v>3720966.2411516793</v>
      </c>
      <c r="K39" s="136">
        <f t="shared" si="3"/>
        <v>3706082.3761870726</v>
      </c>
      <c r="L39" s="136">
        <f t="shared" si="3"/>
        <v>3691258.0466823243</v>
      </c>
      <c r="M39" s="136">
        <f t="shared" si="3"/>
        <v>3676493.0144955949</v>
      </c>
      <c r="N39" s="136">
        <f t="shared" si="3"/>
        <v>3661787.0424376125</v>
      </c>
      <c r="O39" s="136">
        <f t="shared" si="3"/>
        <v>3647139.8942678622</v>
      </c>
      <c r="P39" s="136">
        <f t="shared" si="3"/>
        <v>3632551.3346907906</v>
      </c>
      <c r="Q39" s="136">
        <f t="shared" si="3"/>
        <v>3618021.1293520276</v>
      </c>
      <c r="R39" s="136">
        <f t="shared" si="3"/>
        <v>3603549.0448346194</v>
      </c>
      <c r="S39" s="136">
        <f t="shared" si="3"/>
        <v>3589134.8486552811</v>
      </c>
      <c r="T39" s="136">
        <f t="shared" si="3"/>
        <v>3574778.3092606599</v>
      </c>
      <c r="U39" s="136">
        <f t="shared" si="3"/>
        <v>3560479.1960236174</v>
      </c>
      <c r="V39" s="136">
        <f t="shared" si="3"/>
        <v>3546237.2792395228</v>
      </c>
      <c r="W39" s="136">
        <f t="shared" si="3"/>
        <v>3532052.3301225645</v>
      </c>
      <c r="X39" s="136">
        <f t="shared" si="3"/>
        <v>3517924.1208020742</v>
      </c>
      <c r="Y39" s="136">
        <f t="shared" si="3"/>
        <v>3503852.4243188659</v>
      </c>
      <c r="Z39" s="136">
        <f t="shared" si="3"/>
        <v>3489837.0146215903</v>
      </c>
      <c r="AA39" s="136">
        <f t="shared" si="3"/>
        <v>3475877.6665631039</v>
      </c>
      <c r="AB39" s="136">
        <f t="shared" si="3"/>
        <v>3461974.1558968513</v>
      </c>
      <c r="AC39" s="136">
        <f t="shared" si="3"/>
        <v>3448126.2592732641</v>
      </c>
      <c r="AD39" s="136">
        <f t="shared" si="3"/>
        <v>3434333.754236171</v>
      </c>
      <c r="AE39" s="136">
        <f t="shared" si="3"/>
        <v>3420596.4192192261</v>
      </c>
      <c r="AF39" s="136">
        <f t="shared" si="3"/>
        <v>3406914.033542349</v>
      </c>
      <c r="AG39" s="136">
        <f t="shared" si="3"/>
        <v>3393286.3774081795</v>
      </c>
      <c r="AH39" s="299">
        <f t="shared" si="3"/>
        <v>3379713.2318985467</v>
      </c>
    </row>
    <row r="40" spans="2:36" x14ac:dyDescent="0.25">
      <c r="B40" s="98" t="s">
        <v>6</v>
      </c>
      <c r="C40" s="107"/>
      <c r="D40" s="176">
        <v>258</v>
      </c>
      <c r="E40" s="300">
        <f t="shared" ref="E40:Q40" si="4">D40-10</f>
        <v>248</v>
      </c>
      <c r="F40" s="22">
        <f t="shared" si="4"/>
        <v>238</v>
      </c>
      <c r="G40" s="22">
        <f t="shared" si="4"/>
        <v>228</v>
      </c>
      <c r="H40" s="22">
        <f t="shared" si="4"/>
        <v>218</v>
      </c>
      <c r="I40" s="22">
        <f t="shared" si="4"/>
        <v>208</v>
      </c>
      <c r="J40" s="22">
        <f t="shared" si="4"/>
        <v>198</v>
      </c>
      <c r="K40" s="22">
        <f t="shared" si="4"/>
        <v>188</v>
      </c>
      <c r="L40" s="22">
        <f t="shared" si="4"/>
        <v>178</v>
      </c>
      <c r="M40" s="22">
        <f t="shared" si="4"/>
        <v>168</v>
      </c>
      <c r="N40" s="22">
        <f t="shared" si="4"/>
        <v>158</v>
      </c>
      <c r="O40" s="22">
        <f t="shared" si="4"/>
        <v>148</v>
      </c>
      <c r="P40" s="22">
        <f t="shared" si="4"/>
        <v>138</v>
      </c>
      <c r="Q40" s="22">
        <f t="shared" si="4"/>
        <v>128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00"/>
    </row>
    <row r="41" spans="2:36" x14ac:dyDescent="0.25">
      <c r="B41" s="98" t="s">
        <v>7</v>
      </c>
      <c r="C41" s="107"/>
      <c r="D41" s="176">
        <f t="shared" ref="D41:Q41" si="5">D40*$C$19</f>
        <v>227.04</v>
      </c>
      <c r="E41" s="300">
        <f t="shared" si="5"/>
        <v>218.24</v>
      </c>
      <c r="F41" s="22">
        <f t="shared" si="5"/>
        <v>209.44</v>
      </c>
      <c r="G41" s="22">
        <f t="shared" si="5"/>
        <v>200.64000000000001</v>
      </c>
      <c r="H41" s="22">
        <f t="shared" si="5"/>
        <v>191.84</v>
      </c>
      <c r="I41" s="22">
        <f t="shared" si="5"/>
        <v>183.04</v>
      </c>
      <c r="J41" s="22">
        <f t="shared" si="5"/>
        <v>174.24</v>
      </c>
      <c r="K41" s="22">
        <f t="shared" si="5"/>
        <v>165.44</v>
      </c>
      <c r="L41" s="22">
        <f t="shared" si="5"/>
        <v>156.64000000000001</v>
      </c>
      <c r="M41" s="22">
        <f t="shared" si="5"/>
        <v>147.84</v>
      </c>
      <c r="N41" s="22">
        <f t="shared" si="5"/>
        <v>139.04</v>
      </c>
      <c r="O41" s="22">
        <f t="shared" si="5"/>
        <v>130.24</v>
      </c>
      <c r="P41" s="22">
        <f t="shared" si="5"/>
        <v>121.44</v>
      </c>
      <c r="Q41" s="22">
        <f t="shared" si="5"/>
        <v>112.64</v>
      </c>
      <c r="R41" s="22"/>
      <c r="S41" s="22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00"/>
    </row>
    <row r="42" spans="2:36" ht="16.5" thickBot="1" x14ac:dyDescent="0.3">
      <c r="B42" s="99" t="s">
        <v>17</v>
      </c>
      <c r="C42" s="108"/>
      <c r="D42" s="177">
        <f t="shared" ref="D42:Q42" si="6">D37*D38*D41</f>
        <v>819.90955200000008</v>
      </c>
      <c r="E42" s="301">
        <f t="shared" si="6"/>
        <v>828.50167487999988</v>
      </c>
      <c r="F42" s="95">
        <f t="shared" si="6"/>
        <v>803.04529277279994</v>
      </c>
      <c r="G42" s="95">
        <f t="shared" si="6"/>
        <v>776.996932855968</v>
      </c>
      <c r="H42" s="95">
        <f t="shared" si="6"/>
        <v>720.92191685028604</v>
      </c>
      <c r="I42" s="95">
        <f t="shared" si="6"/>
        <v>680.55244916790753</v>
      </c>
      <c r="J42" s="95">
        <f t="shared" si="6"/>
        <v>613.41742240654207</v>
      </c>
      <c r="K42" s="95">
        <f t="shared" si="6"/>
        <v>568.6524082205508</v>
      </c>
      <c r="L42" s="95">
        <f t="shared" si="6"/>
        <v>467.5335216588299</v>
      </c>
      <c r="M42" s="95">
        <f t="shared" si="6"/>
        <v>365.83915162841089</v>
      </c>
      <c r="N42" s="95">
        <f t="shared" si="6"/>
        <v>250.15734472480335</v>
      </c>
      <c r="O42" s="95">
        <f t="shared" si="6"/>
        <v>169.20144746363624</v>
      </c>
      <c r="P42" s="95">
        <f t="shared" si="6"/>
        <v>141.19319554598982</v>
      </c>
      <c r="Q42" s="95">
        <f t="shared" si="6"/>
        <v>103.92754633646025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00"/>
      <c r="AI42" s="16"/>
      <c r="AJ42" s="90">
        <f>SUM(D42:AH42)</f>
        <v>7309.8498565121836</v>
      </c>
    </row>
    <row r="43" spans="2:36" x14ac:dyDescent="0.25">
      <c r="B43" s="51"/>
      <c r="C43" s="109"/>
      <c r="D43" s="178"/>
      <c r="E43" s="30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4"/>
    </row>
    <row r="44" spans="2:36" ht="18.75" x14ac:dyDescent="0.3">
      <c r="B44" s="43" t="s">
        <v>81</v>
      </c>
      <c r="C44" s="110"/>
      <c r="D44" s="179"/>
      <c r="E44" s="29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94"/>
    </row>
    <row r="45" spans="2:36" x14ac:dyDescent="0.25">
      <c r="B45" s="98" t="s">
        <v>84</v>
      </c>
      <c r="C45" s="111"/>
      <c r="D45" s="180">
        <f>Calculations!D14</f>
        <v>1.6282225237449117E-3</v>
      </c>
      <c r="E45" s="303">
        <f>Calculations!D15+D45</f>
        <v>5.4972661445249005E-3</v>
      </c>
      <c r="F45" s="53">
        <f>E45*0.996</f>
        <v>5.4752770799468007E-3</v>
      </c>
      <c r="G45" s="53">
        <f t="shared" ref="G45:AH45" si="7">F45*0.996</f>
        <v>5.4533759716270131E-3</v>
      </c>
      <c r="H45" s="53">
        <f t="shared" si="7"/>
        <v>5.4315624677405052E-3</v>
      </c>
      <c r="I45" s="53">
        <f t="shared" si="7"/>
        <v>5.4098362178695431E-3</v>
      </c>
      <c r="J45" s="53">
        <f t="shared" si="7"/>
        <v>5.3881968729980649E-3</v>
      </c>
      <c r="K45" s="53">
        <f t="shared" si="7"/>
        <v>5.366644085506073E-3</v>
      </c>
      <c r="L45" s="53">
        <f t="shared" si="7"/>
        <v>5.345177509164049E-3</v>
      </c>
      <c r="M45" s="53">
        <f t="shared" si="7"/>
        <v>5.3237967991273932E-3</v>
      </c>
      <c r="N45" s="53">
        <f t="shared" si="7"/>
        <v>5.3025016119308838E-3</v>
      </c>
      <c r="O45" s="53">
        <f t="shared" si="7"/>
        <v>5.2812916054831606E-3</v>
      </c>
      <c r="P45" s="53">
        <f t="shared" si="7"/>
        <v>5.2601664390612276E-3</v>
      </c>
      <c r="Q45" s="53">
        <f t="shared" si="7"/>
        <v>5.2391257733049824E-3</v>
      </c>
      <c r="R45" s="53">
        <f t="shared" si="7"/>
        <v>5.2181692702117626E-3</v>
      </c>
      <c r="S45" s="53">
        <f t="shared" si="7"/>
        <v>5.1972965931309156E-3</v>
      </c>
      <c r="T45" s="53">
        <f t="shared" si="7"/>
        <v>5.1765074067583921E-3</v>
      </c>
      <c r="U45" s="53">
        <f t="shared" si="7"/>
        <v>5.155801377131358E-3</v>
      </c>
      <c r="V45" s="53">
        <f t="shared" si="7"/>
        <v>5.1351781716228329E-3</v>
      </c>
      <c r="W45" s="53">
        <f t="shared" si="7"/>
        <v>5.1146374589363412E-3</v>
      </c>
      <c r="X45" s="53">
        <f t="shared" si="7"/>
        <v>5.0941789091005956E-3</v>
      </c>
      <c r="Y45" s="53">
        <f t="shared" si="7"/>
        <v>5.0738021934641931E-3</v>
      </c>
      <c r="Z45" s="53">
        <f t="shared" si="7"/>
        <v>5.0535069846903364E-3</v>
      </c>
      <c r="AA45" s="53">
        <f t="shared" si="7"/>
        <v>5.0332929567515746E-3</v>
      </c>
      <c r="AB45" s="53">
        <f t="shared" si="7"/>
        <v>5.0131597849245686E-3</v>
      </c>
      <c r="AC45" s="53">
        <f t="shared" si="7"/>
        <v>4.9931071457848704E-3</v>
      </c>
      <c r="AD45" s="53">
        <f t="shared" si="7"/>
        <v>4.9731347172017309E-3</v>
      </c>
      <c r="AE45" s="53">
        <f t="shared" si="7"/>
        <v>4.953242178332924E-3</v>
      </c>
      <c r="AF45" s="53">
        <f t="shared" si="7"/>
        <v>4.9334292096195921E-3</v>
      </c>
      <c r="AG45" s="53">
        <f t="shared" si="7"/>
        <v>4.9136954927811137E-3</v>
      </c>
      <c r="AH45" s="304">
        <f t="shared" si="7"/>
        <v>4.8940407108099895E-3</v>
      </c>
    </row>
    <row r="46" spans="2:36" x14ac:dyDescent="0.25">
      <c r="B46" s="98" t="s">
        <v>86</v>
      </c>
      <c r="C46" s="111"/>
      <c r="D46" s="181">
        <f>Calculations!F21</f>
        <v>120000</v>
      </c>
      <c r="E46" s="305">
        <f>Calculations!G21</f>
        <v>407520.00000000006</v>
      </c>
      <c r="F46" s="137">
        <f>Calculations!H21</f>
        <v>596742.52800000005</v>
      </c>
      <c r="G46" s="137">
        <f>Calculations!I21</f>
        <v>594355.55788800004</v>
      </c>
      <c r="H46" s="137">
        <f>Calculations!J21</f>
        <v>591978.13565644796</v>
      </c>
      <c r="I46" s="137">
        <f>Calculations!K21</f>
        <v>589610.22311382229</v>
      </c>
      <c r="J46" s="137">
        <f>Calculations!L21</f>
        <v>587251.782221367</v>
      </c>
      <c r="K46" s="137">
        <f>Calculations!M21</f>
        <v>584902.77509248152</v>
      </c>
      <c r="L46" s="137">
        <f>Calculations!N21</f>
        <v>582563.16399211157</v>
      </c>
      <c r="M46" s="137">
        <f>Calculations!O21</f>
        <v>580232.91133614315</v>
      </c>
      <c r="N46" s="137">
        <f>Calculations!P21</f>
        <v>577911.97969079856</v>
      </c>
      <c r="O46" s="137">
        <f>Calculations!Q21</f>
        <v>575600.33177203534</v>
      </c>
      <c r="P46" s="137">
        <f>Calculations!R21</f>
        <v>573297.93044494721</v>
      </c>
      <c r="Q46" s="137">
        <f>Calculations!S21</f>
        <v>571004.73872316745</v>
      </c>
      <c r="R46" s="137">
        <f>Calculations!T21</f>
        <v>568720.71976827469</v>
      </c>
      <c r="S46" s="137">
        <f>Calculations!U21</f>
        <v>453447.68972296285</v>
      </c>
      <c r="T46" s="137">
        <f>Calculations!V21</f>
        <v>181523.12797789369</v>
      </c>
      <c r="U46" s="137">
        <f>Calculations!W21</f>
        <v>180797.0354659821</v>
      </c>
      <c r="V46" s="137">
        <f>Calculations!X21</f>
        <v>180073.84732411816</v>
      </c>
      <c r="W46" s="137">
        <f>Calculations!Y21</f>
        <v>179353.55193482168</v>
      </c>
      <c r="X46" s="137">
        <f>Calculations!Z21</f>
        <v>178636.13772708239</v>
      </c>
      <c r="Y46" s="137">
        <f>Calculations!AA21</f>
        <v>177921.59317617406</v>
      </c>
      <c r="Z46" s="137">
        <f>Calculations!AB21</f>
        <v>177209.90680346938</v>
      </c>
      <c r="AA46" s="137">
        <f>Calculations!AC21</f>
        <v>176501.06717625548</v>
      </c>
      <c r="AB46" s="137">
        <f>Calculations!AD21</f>
        <v>175795.06290755045</v>
      </c>
      <c r="AC46" s="137">
        <f>Calculations!AE21</f>
        <v>175091.88265592026</v>
      </c>
      <c r="AD46" s="137">
        <f>Calculations!AF21</f>
        <v>174391.51512529657</v>
      </c>
      <c r="AE46" s="137">
        <f>Calculations!AG21</f>
        <v>173693.94906479539</v>
      </c>
      <c r="AF46" s="137">
        <f>Calculations!AH21</f>
        <v>172999.17326853622</v>
      </c>
      <c r="AG46" s="137">
        <f>Calculations!AI21</f>
        <v>172307.17657546207</v>
      </c>
      <c r="AH46" s="306">
        <f>Calculations!AJ21</f>
        <v>171617.94786916021</v>
      </c>
    </row>
    <row r="47" spans="2:36" ht="15.75" x14ac:dyDescent="0.25">
      <c r="B47" s="100" t="s">
        <v>82</v>
      </c>
      <c r="C47" s="120"/>
      <c r="D47" s="177">
        <f>Calculations!F17</f>
        <v>14.88</v>
      </c>
      <c r="E47" s="301">
        <f>Calculations!G17</f>
        <v>50.532480000000007</v>
      </c>
      <c r="F47" s="95">
        <f>Calculations!H17</f>
        <v>73.996073472000006</v>
      </c>
      <c r="G47" s="95">
        <f>Calculations!I17</f>
        <v>73.700089178111995</v>
      </c>
      <c r="H47" s="95">
        <f>Calculations!J17</f>
        <v>73.405288821399552</v>
      </c>
      <c r="I47" s="95">
        <f>Calculations!K17</f>
        <v>73.111667666113959</v>
      </c>
      <c r="J47" s="95">
        <f>Calculations!L17</f>
        <v>72.819220995449513</v>
      </c>
      <c r="K47" s="95">
        <f>Calculations!M17</f>
        <v>72.527944111467704</v>
      </c>
      <c r="L47" s="95">
        <f>Calculations!N17</f>
        <v>72.237832335021835</v>
      </c>
      <c r="M47" s="95">
        <f>Calculations!O17</f>
        <v>71.948881005681756</v>
      </c>
      <c r="N47" s="95">
        <f>Calculations!P17</f>
        <v>71.661085481659029</v>
      </c>
      <c r="O47" s="95">
        <f>Calculations!Q17</f>
        <v>71.374441139732369</v>
      </c>
      <c r="P47" s="95">
        <f>Calculations!R17</f>
        <v>71.088943375173443</v>
      </c>
      <c r="Q47" s="95">
        <f>Calculations!S17</f>
        <v>70.804587601672765</v>
      </c>
      <c r="R47" s="95">
        <f>Calculations!T17</f>
        <v>70.521369251266066</v>
      </c>
      <c r="S47" s="95">
        <f>Calculations!U17</f>
        <v>56.227513525647396</v>
      </c>
      <c r="T47" s="95">
        <f>Calculations!V17</f>
        <v>22.508867869258818</v>
      </c>
      <c r="U47" s="95">
        <f>Calculations!W17</f>
        <v>0</v>
      </c>
      <c r="V47" s="95">
        <f>Calculations!X17</f>
        <v>0</v>
      </c>
      <c r="W47" s="95">
        <f>Calculations!Y17</f>
        <v>0</v>
      </c>
      <c r="X47" s="95">
        <f>Calculations!Z17</f>
        <v>0</v>
      </c>
      <c r="Y47" s="95">
        <f>Calculations!AA17</f>
        <v>0</v>
      </c>
      <c r="Z47" s="95">
        <f>Calculations!AB17</f>
        <v>0</v>
      </c>
      <c r="AA47" s="95">
        <f>Calculations!AC17</f>
        <v>0</v>
      </c>
      <c r="AB47" s="95">
        <f>Calculations!AD17</f>
        <v>0</v>
      </c>
      <c r="AC47" s="95">
        <f>Calculations!AE17</f>
        <v>0</v>
      </c>
      <c r="AD47" s="95">
        <f>Calculations!AF17</f>
        <v>0</v>
      </c>
      <c r="AE47" s="95">
        <f>Calculations!AG17</f>
        <v>0</v>
      </c>
      <c r="AF47" s="95">
        <f>Calculations!AH17</f>
        <v>0</v>
      </c>
      <c r="AG47" s="95">
        <f>Calculations!AI17</f>
        <v>0</v>
      </c>
      <c r="AH47" s="307">
        <f>Calculations!AJ17</f>
        <v>0</v>
      </c>
      <c r="AI47" s="16"/>
      <c r="AJ47" s="90">
        <f>SUM(D47:AH47)</f>
        <v>1083.3462858296564</v>
      </c>
    </row>
    <row r="48" spans="2:36" x14ac:dyDescent="0.25">
      <c r="B48" s="51"/>
      <c r="C48" s="109"/>
      <c r="D48" s="182"/>
      <c r="E48" s="30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294"/>
    </row>
    <row r="49" spans="2:36" ht="18.75" x14ac:dyDescent="0.3">
      <c r="B49" s="43" t="s">
        <v>55</v>
      </c>
      <c r="C49" s="110"/>
      <c r="D49" s="172"/>
      <c r="E49" s="29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294"/>
    </row>
    <row r="50" spans="2:36" ht="15.75" x14ac:dyDescent="0.25">
      <c r="B50" s="129" t="s">
        <v>85</v>
      </c>
      <c r="C50" s="112"/>
      <c r="D50" s="84">
        <f>Calculations!D27</f>
        <v>0</v>
      </c>
      <c r="E50" s="308">
        <f>Calculations!D28</f>
        <v>0</v>
      </c>
      <c r="F50" s="54">
        <f>F51/F37/1000000</f>
        <v>6.4962902378607884E-3</v>
      </c>
      <c r="G50" s="54">
        <f t="shared" ref="G50:AH50" si="8">G51/G37/1000000</f>
        <v>1.7784667179706306E-2</v>
      </c>
      <c r="H50" s="54">
        <f t="shared" si="8"/>
        <v>2.9382849142728075E-2</v>
      </c>
      <c r="I50" s="54">
        <f t="shared" si="8"/>
        <v>4.1353653051330749E-2</v>
      </c>
      <c r="J50" s="54">
        <f t="shared" si="8"/>
        <v>5.3741544933256134E-2</v>
      </c>
      <c r="K50" s="54">
        <f t="shared" si="8"/>
        <v>6.6588731904800982E-2</v>
      </c>
      <c r="L50" s="54">
        <f t="shared" si="8"/>
        <v>7.9965299881108579E-2</v>
      </c>
      <c r="M50" s="54">
        <f t="shared" si="8"/>
        <v>9.3923006787152513E-2</v>
      </c>
      <c r="N50" s="54">
        <f t="shared" si="8"/>
        <v>0.10851091653947686</v>
      </c>
      <c r="O50" s="54">
        <f t="shared" si="8"/>
        <v>0.1227392927623957</v>
      </c>
      <c r="P50" s="54">
        <f t="shared" si="8"/>
        <v>0.13661467676106293</v>
      </c>
      <c r="Q50" s="54">
        <f t="shared" si="8"/>
        <v>0.15014350374658006</v>
      </c>
      <c r="R50" s="54">
        <f t="shared" si="8"/>
        <v>0.16333210445930482</v>
      </c>
      <c r="S50" s="54">
        <f t="shared" si="8"/>
        <v>0.17618670676814668</v>
      </c>
      <c r="T50" s="54">
        <f t="shared" si="8"/>
        <v>0.18871343724619682</v>
      </c>
      <c r="U50" s="54">
        <f t="shared" si="8"/>
        <v>0.20091832272303578</v>
      </c>
      <c r="V50" s="54">
        <f t="shared" si="8"/>
        <v>0.21280729181405669</v>
      </c>
      <c r="W50" s="54">
        <f t="shared" si="8"/>
        <v>0.2243861764271366</v>
      </c>
      <c r="X50" s="54">
        <f t="shared" si="8"/>
        <v>0.23566071324698543</v>
      </c>
      <c r="Y50" s="54">
        <f t="shared" si="8"/>
        <v>0.24663654519749503</v>
      </c>
      <c r="Z50" s="54">
        <f t="shared" si="8"/>
        <v>0.25731922288240827</v>
      </c>
      <c r="AA50" s="54">
        <f t="shared" si="8"/>
        <v>0.2677142060046217</v>
      </c>
      <c r="AB50" s="54">
        <f t="shared" si="8"/>
        <v>0.27782686476443352</v>
      </c>
      <c r="AC50" s="54">
        <f t="shared" si="8"/>
        <v>0.28766248123703969</v>
      </c>
      <c r="AD50" s="54">
        <f t="shared" si="8"/>
        <v>0.29722625072958209</v>
      </c>
      <c r="AE50" s="54">
        <f t="shared" si="8"/>
        <v>0.30652328311804417</v>
      </c>
      <c r="AF50" s="54">
        <f t="shared" si="8"/>
        <v>0.31555860416428627</v>
      </c>
      <c r="AG50" s="54">
        <f t="shared" si="8"/>
        <v>0.32433715681351111</v>
      </c>
      <c r="AH50" s="309">
        <f t="shared" si="8"/>
        <v>0.33286380247244063</v>
      </c>
    </row>
    <row r="51" spans="2:36" ht="15.75" x14ac:dyDescent="0.25">
      <c r="B51" s="129" t="s">
        <v>88</v>
      </c>
      <c r="C51" s="112"/>
      <c r="D51" s="183"/>
      <c r="E51" s="308"/>
      <c r="F51" s="136">
        <f>Calculations!H95</f>
        <v>488400</v>
      </c>
      <c r="G51" s="136">
        <f>Calculations!I95</f>
        <v>1350446.4</v>
      </c>
      <c r="H51" s="136">
        <f>Calculations!J95</f>
        <v>2253444.6144000003</v>
      </c>
      <c r="I51" s="136">
        <f>Calculations!K95</f>
        <v>3203230.8359424002</v>
      </c>
      <c r="J51" s="136">
        <f>Calculations!L95</f>
        <v>4204417.9125986304</v>
      </c>
      <c r="K51" s="136">
        <f>Calculations!M95</f>
        <v>5261600.2409482356</v>
      </c>
      <c r="L51" s="136">
        <f>Calculations!N95</f>
        <v>6381753.839984443</v>
      </c>
      <c r="M51" s="136">
        <f>Calculations!O95</f>
        <v>7570626.8246245058</v>
      </c>
      <c r="N51" s="136">
        <f>Calculations!P95</f>
        <v>8833944.3173260074</v>
      </c>
      <c r="O51" s="136">
        <f>Calculations!Q95</f>
        <v>10092208.540056704</v>
      </c>
      <c r="P51" s="136">
        <f>Calculations!R95</f>
        <v>11345439.705896476</v>
      </c>
      <c r="Q51" s="136">
        <f>Calculations!S95</f>
        <v>12593657.947072892</v>
      </c>
      <c r="R51" s="136">
        <f>Calculations!T95</f>
        <v>13836883.3152846</v>
      </c>
      <c r="S51" s="136">
        <f>Calculations!U95</f>
        <v>15075135.782023463</v>
      </c>
      <c r="T51" s="136">
        <f>Calculations!V95</f>
        <v>16308435.23889537</v>
      </c>
      <c r="U51" s="136">
        <f>Calculations!W95</f>
        <v>17536801.497939788</v>
      </c>
      <c r="V51" s="136">
        <f>Calculations!X95</f>
        <v>18760254.291948028</v>
      </c>
      <c r="W51" s="136">
        <f>Calculations!Y95</f>
        <v>19978813.274780236</v>
      </c>
      <c r="X51" s="136">
        <f>Calculations!Z95</f>
        <v>21192498.021681115</v>
      </c>
      <c r="Y51" s="136">
        <f>Calculations!AA95</f>
        <v>22401328.029594388</v>
      </c>
      <c r="Z51" s="136">
        <f>Calculations!AB95</f>
        <v>23605322.717476014</v>
      </c>
      <c r="AA51" s="136">
        <f>Calculations!AC95</f>
        <v>24804501.4266061</v>
      </c>
      <c r="AB51" s="136">
        <f>Calculations!AD95</f>
        <v>25998883.420899678</v>
      </c>
      <c r="AC51" s="136">
        <f>Calculations!AE95</f>
        <v>27188487.88721608</v>
      </c>
      <c r="AD51" s="136">
        <f>Calculations!AF95</f>
        <v>28373333.935667213</v>
      </c>
      <c r="AE51" s="136">
        <f>Calculations!AG95</f>
        <v>29553440.599924546</v>
      </c>
      <c r="AF51" s="136">
        <f>Calculations!AH95</f>
        <v>30728826.837524842</v>
      </c>
      <c r="AG51" s="136">
        <f>Calculations!AI95</f>
        <v>31899511.530174743</v>
      </c>
      <c r="AH51" s="299">
        <f>Calculations!AJ95</f>
        <v>33065513.484054048</v>
      </c>
    </row>
    <row r="52" spans="2:36" ht="15.75" x14ac:dyDescent="0.25">
      <c r="B52" s="100" t="s">
        <v>43</v>
      </c>
      <c r="C52" s="113"/>
      <c r="D52" s="184">
        <f>Calculations!F58</f>
        <v>0</v>
      </c>
      <c r="E52" s="301">
        <f>Calculations!G58</f>
        <v>0</v>
      </c>
      <c r="F52" s="95">
        <f>Calculations!H58</f>
        <v>43.956000000000003</v>
      </c>
      <c r="G52" s="95">
        <f>Calculations!I58</f>
        <v>108.23063507481601</v>
      </c>
      <c r="H52" s="95">
        <f>Calculations!J58</f>
        <v>170.61431676230552</v>
      </c>
      <c r="I52" s="95">
        <f>Calculations!K58</f>
        <v>232.68478496026384</v>
      </c>
      <c r="J52" s="95">
        <f>Calculations!L58</f>
        <v>294.55351289981445</v>
      </c>
      <c r="K52" s="95">
        <f>Calculations!M58</f>
        <v>356.31670560284414</v>
      </c>
      <c r="L52" s="95">
        <f>Calculations!N58</f>
        <v>418.18129446003167</v>
      </c>
      <c r="M52" s="95">
        <f>Calculations!O58</f>
        <v>480.24115698582978</v>
      </c>
      <c r="N52" s="95">
        <f>Calculations!P58</f>
        <v>542.56309891800242</v>
      </c>
      <c r="O52" s="95">
        <f>Calculations!Q58</f>
        <v>601.02400275468437</v>
      </c>
      <c r="P52" s="95">
        <f>Calculations!R58</f>
        <v>655.97747137637316</v>
      </c>
      <c r="Q52" s="95">
        <f>Calculations!S58</f>
        <v>707.61423552170697</v>
      </c>
      <c r="R52" s="95">
        <f>Calculations!T58</f>
        <v>756.11472740420334</v>
      </c>
      <c r="S52" s="95">
        <f>Calculations!U58</f>
        <v>801.64963637617984</v>
      </c>
      <c r="T52" s="95">
        <f>Calculations!V58</f>
        <v>844.38043461882285</v>
      </c>
      <c r="U52" s="95">
        <f>Calculations!W58</f>
        <v>884.4598744749477</v>
      </c>
      <c r="V52" s="95">
        <f>Calculations!X58</f>
        <v>922.03245895383111</v>
      </c>
      <c r="W52" s="95">
        <f>Calculations!Y58</f>
        <v>957.23488685502105</v>
      </c>
      <c r="X52" s="95">
        <f>Calculations!Z58</f>
        <v>990.19647388002068</v>
      </c>
      <c r="Y52" s="95">
        <f>Calculations!AA58</f>
        <v>1021.0395510269055</v>
      </c>
      <c r="Z52" s="95">
        <f>Calculations!AB58</f>
        <v>1009.6337592787271</v>
      </c>
      <c r="AA52" s="95">
        <f>Calculations!AC58</f>
        <v>977.64820896372385</v>
      </c>
      <c r="AB52" s="95">
        <f>Calculations!AD58</f>
        <v>945.44585259071198</v>
      </c>
      <c r="AC52" s="95">
        <f>Calculations!AD58</f>
        <v>945.44585259071198</v>
      </c>
      <c r="AD52" s="95">
        <f>Calculations!AE58</f>
        <v>911.85638458555513</v>
      </c>
      <c r="AE52" s="95">
        <f>Calculations!AF58</f>
        <v>876.85710204619318</v>
      </c>
      <c r="AF52" s="95">
        <f>Calculations!AG58</f>
        <v>840.44752140931246</v>
      </c>
      <c r="AG52" s="95">
        <f>Calculations!AH58</f>
        <v>802.52388850431714</v>
      </c>
      <c r="AH52" s="307">
        <f>Calculations!AI58</f>
        <v>763.07672964814697</v>
      </c>
      <c r="AI52" s="16"/>
      <c r="AJ52" s="90">
        <f>SUM(D52:AH52)</f>
        <v>19862.000558524003</v>
      </c>
    </row>
    <row r="53" spans="2:36" ht="15.75" x14ac:dyDescent="0.25">
      <c r="B53" s="94"/>
      <c r="C53" s="114"/>
      <c r="D53" s="185"/>
      <c r="E53" s="310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311"/>
      <c r="AI53" s="16"/>
      <c r="AJ53" s="90"/>
    </row>
    <row r="54" spans="2:36" ht="15.75" x14ac:dyDescent="0.25">
      <c r="B54" s="101" t="s">
        <v>89</v>
      </c>
      <c r="C54" s="113"/>
      <c r="D54" s="186">
        <f>D51+D46+D39</f>
        <v>3731300.0000000005</v>
      </c>
      <c r="E54" s="312">
        <f>E51+E46+E39</f>
        <v>4203807</v>
      </c>
      <c r="F54" s="136">
        <f>F51+F46+F39</f>
        <v>4866244.379999999</v>
      </c>
      <c r="G54" s="136">
        <f t="shared" ref="G54:AH54" si="9">G51+G46+G39</f>
        <v>5710779.4024799997</v>
      </c>
      <c r="H54" s="136">
        <f t="shared" si="9"/>
        <v>6596336.2848700797</v>
      </c>
      <c r="I54" s="136">
        <f t="shared" si="9"/>
        <v>7528750.9397305995</v>
      </c>
      <c r="J54" s="136">
        <f t="shared" si="9"/>
        <v>8512635.9359716773</v>
      </c>
      <c r="K54" s="136">
        <f t="shared" si="9"/>
        <v>9552585.3922277894</v>
      </c>
      <c r="L54" s="136">
        <f t="shared" si="9"/>
        <v>10655575.050658878</v>
      </c>
      <c r="M54" s="136">
        <f t="shared" si="9"/>
        <v>11827352.750456244</v>
      </c>
      <c r="N54" s="136">
        <f t="shared" si="9"/>
        <v>13073643.33945442</v>
      </c>
      <c r="O54" s="136">
        <f t="shared" si="9"/>
        <v>14314948.766096601</v>
      </c>
      <c r="P54" s="136">
        <f t="shared" si="9"/>
        <v>15551288.971032213</v>
      </c>
      <c r="Q54" s="136">
        <f t="shared" si="9"/>
        <v>16782683.815148085</v>
      </c>
      <c r="R54" s="136">
        <f t="shared" si="9"/>
        <v>18009153.079887494</v>
      </c>
      <c r="S54" s="136">
        <f t="shared" si="9"/>
        <v>19117718.320401706</v>
      </c>
      <c r="T54" s="136">
        <f t="shared" si="9"/>
        <v>20064736.676133923</v>
      </c>
      <c r="U54" s="136">
        <f t="shared" si="9"/>
        <v>21278077.729429387</v>
      </c>
      <c r="V54" s="136">
        <f t="shared" si="9"/>
        <v>22486565.41851167</v>
      </c>
      <c r="W54" s="136">
        <f t="shared" si="9"/>
        <v>23690219.156837624</v>
      </c>
      <c r="X54" s="136">
        <f t="shared" si="9"/>
        <v>24889058.280210271</v>
      </c>
      <c r="Y54" s="136">
        <f t="shared" si="9"/>
        <v>26083102.047089428</v>
      </c>
      <c r="Z54" s="136">
        <f t="shared" si="9"/>
        <v>27272369.638901073</v>
      </c>
      <c r="AA54" s="136">
        <f t="shared" si="9"/>
        <v>28456880.160345461</v>
      </c>
      <c r="AB54" s="136">
        <f t="shared" si="9"/>
        <v>29636652.639704078</v>
      </c>
      <c r="AC54" s="136">
        <f t="shared" si="9"/>
        <v>30811706.029145263</v>
      </c>
      <c r="AD54" s="136">
        <f t="shared" si="9"/>
        <v>31982059.205028683</v>
      </c>
      <c r="AE54" s="136">
        <f t="shared" si="9"/>
        <v>33147730.968208566</v>
      </c>
      <c r="AF54" s="136">
        <f t="shared" si="9"/>
        <v>34308740.04433573</v>
      </c>
      <c r="AG54" s="136">
        <f t="shared" si="9"/>
        <v>35465105.084158383</v>
      </c>
      <c r="AH54" s="299">
        <f t="shared" si="9"/>
        <v>36616844.663821757</v>
      </c>
      <c r="AI54" s="16"/>
      <c r="AJ54" s="90"/>
    </row>
    <row r="55" spans="2:36" ht="15.75" x14ac:dyDescent="0.25">
      <c r="B55" s="101" t="s">
        <v>44</v>
      </c>
      <c r="C55" s="120" t="s">
        <v>60</v>
      </c>
      <c r="D55" s="184">
        <f>IF($C$55="yes",D42+D47+D52,0)</f>
        <v>834.78955200000007</v>
      </c>
      <c r="E55" s="313">
        <f t="shared" ref="E55:AH55" si="10">IF($C$55="yes",E42+E47+E52,0)</f>
        <v>879.03415487999985</v>
      </c>
      <c r="F55" s="184">
        <f t="shared" si="10"/>
        <v>920.99736624479999</v>
      </c>
      <c r="G55" s="184">
        <f t="shared" si="10"/>
        <v>958.92765710889603</v>
      </c>
      <c r="H55" s="184">
        <f t="shared" si="10"/>
        <v>964.94152243399105</v>
      </c>
      <c r="I55" s="184">
        <f t="shared" si="10"/>
        <v>986.34890179428533</v>
      </c>
      <c r="J55" s="184">
        <f t="shared" si="10"/>
        <v>980.79015630180606</v>
      </c>
      <c r="K55" s="184">
        <f t="shared" si="10"/>
        <v>997.4970579348626</v>
      </c>
      <c r="L55" s="184">
        <f t="shared" si="10"/>
        <v>957.95264845388351</v>
      </c>
      <c r="M55" s="184">
        <f t="shared" si="10"/>
        <v>918.02918961992236</v>
      </c>
      <c r="N55" s="184">
        <f t="shared" si="10"/>
        <v>864.38152912446481</v>
      </c>
      <c r="O55" s="184">
        <f t="shared" si="10"/>
        <v>841.59989135805301</v>
      </c>
      <c r="P55" s="184">
        <f t="shared" si="10"/>
        <v>868.25961029753648</v>
      </c>
      <c r="Q55" s="184">
        <f t="shared" si="10"/>
        <v>882.34636945983993</v>
      </c>
      <c r="R55" s="184">
        <f t="shared" si="10"/>
        <v>826.63609665546937</v>
      </c>
      <c r="S55" s="184">
        <f t="shared" si="10"/>
        <v>857.87714990182724</v>
      </c>
      <c r="T55" s="184">
        <f t="shared" si="10"/>
        <v>866.88930248808163</v>
      </c>
      <c r="U55" s="184">
        <f t="shared" si="10"/>
        <v>884.4598744749477</v>
      </c>
      <c r="V55" s="184">
        <f t="shared" si="10"/>
        <v>922.03245895383111</v>
      </c>
      <c r="W55" s="184">
        <f t="shared" si="10"/>
        <v>957.23488685502105</v>
      </c>
      <c r="X55" s="184">
        <f t="shared" si="10"/>
        <v>990.19647388002068</v>
      </c>
      <c r="Y55" s="184">
        <f t="shared" si="10"/>
        <v>1021.0395510269055</v>
      </c>
      <c r="Z55" s="184">
        <f t="shared" si="10"/>
        <v>1009.6337592787271</v>
      </c>
      <c r="AA55" s="184">
        <f t="shared" si="10"/>
        <v>977.64820896372385</v>
      </c>
      <c r="AB55" s="184">
        <f t="shared" si="10"/>
        <v>945.44585259071198</v>
      </c>
      <c r="AC55" s="184">
        <f t="shared" si="10"/>
        <v>945.44585259071198</v>
      </c>
      <c r="AD55" s="184">
        <f t="shared" si="10"/>
        <v>911.85638458555513</v>
      </c>
      <c r="AE55" s="184">
        <f t="shared" si="10"/>
        <v>876.85710204619318</v>
      </c>
      <c r="AF55" s="184">
        <f t="shared" si="10"/>
        <v>840.44752140931246</v>
      </c>
      <c r="AG55" s="184">
        <f t="shared" si="10"/>
        <v>802.52388850431714</v>
      </c>
      <c r="AH55" s="314">
        <f t="shared" si="10"/>
        <v>763.07672964814697</v>
      </c>
      <c r="AI55" s="16"/>
      <c r="AJ55" s="90"/>
    </row>
    <row r="56" spans="2:36" x14ac:dyDescent="0.25">
      <c r="B56" s="51"/>
      <c r="C56" s="109"/>
      <c r="D56" s="182"/>
      <c r="E56" s="302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294"/>
    </row>
    <row r="57" spans="2:36" ht="18.75" x14ac:dyDescent="0.3">
      <c r="B57" s="72" t="s">
        <v>26</v>
      </c>
      <c r="C57" s="109"/>
      <c r="D57" s="182"/>
      <c r="E57" s="302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294"/>
    </row>
    <row r="58" spans="2:36" ht="21" x14ac:dyDescent="0.3">
      <c r="B58" s="55" t="s">
        <v>50</v>
      </c>
      <c r="C58" s="109"/>
      <c r="D58" s="172"/>
      <c r="E58" s="30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294"/>
    </row>
    <row r="59" spans="2:36" x14ac:dyDescent="0.25">
      <c r="B59" s="157" t="s">
        <v>52</v>
      </c>
      <c r="C59" s="111"/>
      <c r="D59" s="187"/>
      <c r="E59" s="315"/>
      <c r="F59" s="60"/>
      <c r="G59" s="60">
        <v>400</v>
      </c>
      <c r="H59" s="60">
        <f>G59+700</f>
        <v>1100</v>
      </c>
      <c r="I59" s="60">
        <f>H59+400</f>
        <v>1500</v>
      </c>
      <c r="J59" s="60">
        <f>I59+400</f>
        <v>1900</v>
      </c>
      <c r="K59" s="60">
        <f>J59+800</f>
        <v>2700</v>
      </c>
      <c r="L59" s="60">
        <f>K59+400</f>
        <v>3100</v>
      </c>
      <c r="M59" s="60">
        <f>L59+800</f>
        <v>3900</v>
      </c>
      <c r="N59" s="60">
        <f>M59+400</f>
        <v>4300</v>
      </c>
      <c r="O59" s="60">
        <f>N59+800</f>
        <v>5100</v>
      </c>
      <c r="P59" s="60">
        <f>O59+500</f>
        <v>5600</v>
      </c>
      <c r="Q59" s="60">
        <f>P59+900</f>
        <v>6500</v>
      </c>
      <c r="R59" s="60">
        <f>Q59+500</f>
        <v>7000</v>
      </c>
      <c r="S59" s="60">
        <f>R59+500</f>
        <v>7500</v>
      </c>
      <c r="T59" s="60">
        <f>S59+300</f>
        <v>7800</v>
      </c>
      <c r="U59" s="60">
        <f t="shared" ref="U59:AG59" si="11">T59+300</f>
        <v>8100</v>
      </c>
      <c r="V59" s="60">
        <f t="shared" si="11"/>
        <v>8400</v>
      </c>
      <c r="W59" s="60">
        <f t="shared" si="11"/>
        <v>8700</v>
      </c>
      <c r="X59" s="60">
        <f t="shared" si="11"/>
        <v>9000</v>
      </c>
      <c r="Y59" s="60">
        <f t="shared" si="11"/>
        <v>9300</v>
      </c>
      <c r="Z59" s="60">
        <f t="shared" si="11"/>
        <v>9600</v>
      </c>
      <c r="AA59" s="60">
        <f t="shared" si="11"/>
        <v>9900</v>
      </c>
      <c r="AB59" s="60">
        <f t="shared" si="11"/>
        <v>10200</v>
      </c>
      <c r="AC59" s="60">
        <f t="shared" si="11"/>
        <v>10500</v>
      </c>
      <c r="AD59" s="60">
        <f t="shared" si="11"/>
        <v>10800</v>
      </c>
      <c r="AE59" s="60">
        <f t="shared" si="11"/>
        <v>11100</v>
      </c>
      <c r="AF59" s="60">
        <f t="shared" si="11"/>
        <v>11400</v>
      </c>
      <c r="AG59" s="60">
        <f t="shared" si="11"/>
        <v>11700</v>
      </c>
      <c r="AH59" s="316">
        <f>AG59+300</f>
        <v>12000</v>
      </c>
      <c r="AJ59" s="90">
        <f>SUM(D59:AH59)</f>
        <v>199100</v>
      </c>
    </row>
    <row r="60" spans="2:36" x14ac:dyDescent="0.25">
      <c r="B60" s="157" t="s">
        <v>90</v>
      </c>
      <c r="C60" s="111"/>
      <c r="D60" s="187"/>
      <c r="E60" s="315"/>
      <c r="F60" s="60"/>
      <c r="G60" s="60"/>
      <c r="H60" s="138">
        <f>H59*8760*0.34</f>
        <v>3276240.0000000005</v>
      </c>
      <c r="I60" s="138">
        <f>I59*8760*0.34</f>
        <v>4467600</v>
      </c>
      <c r="J60" s="138">
        <f t="shared" ref="J60:AH60" si="12">J59*8760*0.34</f>
        <v>5658960</v>
      </c>
      <c r="K60" s="138">
        <f t="shared" si="12"/>
        <v>8041680.0000000009</v>
      </c>
      <c r="L60" s="138">
        <f t="shared" si="12"/>
        <v>9233040</v>
      </c>
      <c r="M60" s="138">
        <f t="shared" si="12"/>
        <v>11615760</v>
      </c>
      <c r="N60" s="138">
        <f t="shared" si="12"/>
        <v>12807120</v>
      </c>
      <c r="O60" s="138">
        <f t="shared" si="12"/>
        <v>15189840.000000002</v>
      </c>
      <c r="P60" s="138">
        <f t="shared" si="12"/>
        <v>16679040.000000002</v>
      </c>
      <c r="Q60" s="138">
        <f t="shared" si="12"/>
        <v>19359600</v>
      </c>
      <c r="R60" s="138">
        <f t="shared" si="12"/>
        <v>20848800</v>
      </c>
      <c r="S60" s="138">
        <f t="shared" si="12"/>
        <v>22338000</v>
      </c>
      <c r="T60" s="138">
        <f t="shared" si="12"/>
        <v>23231520</v>
      </c>
      <c r="U60" s="138">
        <f t="shared" si="12"/>
        <v>24125040</v>
      </c>
      <c r="V60" s="138">
        <f t="shared" si="12"/>
        <v>25018560</v>
      </c>
      <c r="W60" s="138">
        <f t="shared" si="12"/>
        <v>25912080</v>
      </c>
      <c r="X60" s="138">
        <f t="shared" si="12"/>
        <v>26805600.000000004</v>
      </c>
      <c r="Y60" s="138">
        <f t="shared" si="12"/>
        <v>27699120.000000004</v>
      </c>
      <c r="Z60" s="138">
        <f t="shared" si="12"/>
        <v>28592640.000000004</v>
      </c>
      <c r="AA60" s="138">
        <f t="shared" si="12"/>
        <v>29486160.000000004</v>
      </c>
      <c r="AB60" s="138">
        <f t="shared" si="12"/>
        <v>30379680.000000004</v>
      </c>
      <c r="AC60" s="138">
        <f t="shared" si="12"/>
        <v>31273200.000000004</v>
      </c>
      <c r="AD60" s="138">
        <f t="shared" si="12"/>
        <v>32166720.000000004</v>
      </c>
      <c r="AE60" s="138">
        <f t="shared" si="12"/>
        <v>33060240.000000004</v>
      </c>
      <c r="AF60" s="138">
        <f t="shared" si="12"/>
        <v>33953760</v>
      </c>
      <c r="AG60" s="138">
        <f t="shared" si="12"/>
        <v>34847280</v>
      </c>
      <c r="AH60" s="317">
        <f t="shared" si="12"/>
        <v>35740800</v>
      </c>
    </row>
    <row r="61" spans="2:36" x14ac:dyDescent="0.25">
      <c r="B61" s="157" t="s">
        <v>22</v>
      </c>
      <c r="C61" s="111"/>
      <c r="D61" s="187"/>
      <c r="E61" s="315"/>
      <c r="F61" s="60"/>
      <c r="G61" s="60"/>
      <c r="H61" s="52">
        <f>H60/H37/1000000</f>
        <v>4.2719162059815227E-2</v>
      </c>
      <c r="I61" s="52">
        <f>I60/I37/1000000</f>
        <v>5.7676636444394989E-2</v>
      </c>
      <c r="J61" s="52">
        <f t="shared" ref="J61:AH61" si="13">J60/J37/1000000</f>
        <v>7.2333735474818792E-2</v>
      </c>
      <c r="K61" s="52">
        <f t="shared" si="13"/>
        <v>0.10177232192913536</v>
      </c>
      <c r="L61" s="52">
        <f t="shared" si="13"/>
        <v>0.11569277520363755</v>
      </c>
      <c r="M61" s="52">
        <f t="shared" si="13"/>
        <v>0.14410789629325657</v>
      </c>
      <c r="N61" s="52">
        <f t="shared" si="13"/>
        <v>0.15731504291977744</v>
      </c>
      <c r="O61" s="52">
        <f t="shared" si="13"/>
        <v>0.18473560186296684</v>
      </c>
      <c r="P61" s="52">
        <f t="shared" si="13"/>
        <v>0.20083854988014255</v>
      </c>
      <c r="Q61" s="52">
        <f t="shared" si="13"/>
        <v>0.23080809303764616</v>
      </c>
      <c r="R61" s="52">
        <f t="shared" si="13"/>
        <v>0.24610154627014819</v>
      </c>
      <c r="S61" s="52">
        <f t="shared" si="13"/>
        <v>0.26106953281840334</v>
      </c>
      <c r="T61" s="52">
        <f t="shared" si="13"/>
        <v>0.2688240733971678</v>
      </c>
      <c r="U61" s="52">
        <f t="shared" si="13"/>
        <v>0.27639946617378253</v>
      </c>
      <c r="V61" s="52">
        <f t="shared" si="13"/>
        <v>0.28379849845492894</v>
      </c>
      <c r="W61" s="52">
        <f t="shared" si="13"/>
        <v>0.29102391991488469</v>
      </c>
      <c r="X61" s="52">
        <f t="shared" si="13"/>
        <v>0.29807844306748177</v>
      </c>
      <c r="Y61" s="52">
        <f t="shared" si="13"/>
        <v>0.30496474373240706</v>
      </c>
      <c r="Z61" s="52">
        <f t="shared" si="13"/>
        <v>0.3116854614959127</v>
      </c>
      <c r="AA61" s="52">
        <f t="shared" si="13"/>
        <v>0.318243200166</v>
      </c>
      <c r="AB61" s="52">
        <f t="shared" si="13"/>
        <v>0.32464052822214218</v>
      </c>
      <c r="AC61" s="52">
        <f t="shared" si="13"/>
        <v>0.3308799792596091</v>
      </c>
      <c r="AD61" s="52">
        <f t="shared" si="13"/>
        <v>0.33696405242845623</v>
      </c>
      <c r="AE61" s="52">
        <f t="shared" si="13"/>
        <v>0.34289521286724095</v>
      </c>
      <c r="AF61" s="52">
        <f t="shared" si="13"/>
        <v>0.34867589213152678</v>
      </c>
      <c r="AG61" s="52">
        <f t="shared" si="13"/>
        <v>0.35430848861723668</v>
      </c>
      <c r="AH61" s="318">
        <f t="shared" si="13"/>
        <v>0.35979536797891515</v>
      </c>
    </row>
    <row r="62" spans="2:36" x14ac:dyDescent="0.25">
      <c r="B62" s="157" t="s">
        <v>32</v>
      </c>
      <c r="C62" s="111"/>
      <c r="D62" s="187"/>
      <c r="E62" s="315"/>
      <c r="F62" s="60"/>
      <c r="G62" s="60"/>
      <c r="H62" s="34">
        <v>65</v>
      </c>
      <c r="I62" s="62">
        <f>H62</f>
        <v>65</v>
      </c>
      <c r="J62" s="62">
        <v>65</v>
      </c>
      <c r="K62" s="62">
        <f>J62*0.97</f>
        <v>63.05</v>
      </c>
      <c r="L62" s="62">
        <f t="shared" ref="L62:AH62" si="14">K62*0.97</f>
        <v>61.158499999999997</v>
      </c>
      <c r="M62" s="62">
        <f t="shared" si="14"/>
        <v>59.323744999999995</v>
      </c>
      <c r="N62" s="62">
        <f t="shared" si="14"/>
        <v>57.544032649999991</v>
      </c>
      <c r="O62" s="62">
        <f t="shared" si="14"/>
        <v>55.817711670499989</v>
      </c>
      <c r="P62" s="62">
        <f t="shared" si="14"/>
        <v>54.143180320384985</v>
      </c>
      <c r="Q62" s="62">
        <f t="shared" si="14"/>
        <v>52.518884910773437</v>
      </c>
      <c r="R62" s="62">
        <f t="shared" si="14"/>
        <v>50.943318363450231</v>
      </c>
      <c r="S62" s="62">
        <f t="shared" si="14"/>
        <v>49.41501881254672</v>
      </c>
      <c r="T62" s="62">
        <f t="shared" si="14"/>
        <v>47.93256824817032</v>
      </c>
      <c r="U62" s="62">
        <f t="shared" si="14"/>
        <v>46.49459120072521</v>
      </c>
      <c r="V62" s="62">
        <f t="shared" si="14"/>
        <v>45.099753464703454</v>
      </c>
      <c r="W62" s="62">
        <f t="shared" si="14"/>
        <v>43.74676086076235</v>
      </c>
      <c r="X62" s="62">
        <f t="shared" si="14"/>
        <v>42.434358034939478</v>
      </c>
      <c r="Y62" s="62">
        <f t="shared" si="14"/>
        <v>41.16132729389129</v>
      </c>
      <c r="Z62" s="62">
        <f t="shared" si="14"/>
        <v>39.926487475074552</v>
      </c>
      <c r="AA62" s="62">
        <f t="shared" si="14"/>
        <v>38.728692850822313</v>
      </c>
      <c r="AB62" s="62">
        <f t="shared" si="14"/>
        <v>37.566832065297639</v>
      </c>
      <c r="AC62" s="62">
        <f t="shared" si="14"/>
        <v>36.439827103338708</v>
      </c>
      <c r="AD62" s="62">
        <f t="shared" si="14"/>
        <v>35.346632290238546</v>
      </c>
      <c r="AE62" s="62">
        <f t="shared" si="14"/>
        <v>34.286233321531391</v>
      </c>
      <c r="AF62" s="62">
        <f t="shared" si="14"/>
        <v>33.257646321885446</v>
      </c>
      <c r="AG62" s="62">
        <f t="shared" si="14"/>
        <v>32.259916932228883</v>
      </c>
      <c r="AH62" s="319">
        <f t="shared" si="14"/>
        <v>31.292119424262015</v>
      </c>
    </row>
    <row r="63" spans="2:36" ht="18.75" x14ac:dyDescent="0.3">
      <c r="B63" s="156" t="s">
        <v>46</v>
      </c>
      <c r="C63" s="162" t="s">
        <v>60</v>
      </c>
      <c r="D63" s="187"/>
      <c r="E63" s="315"/>
      <c r="F63" s="60"/>
      <c r="G63" s="60"/>
      <c r="H63" s="35">
        <f>IF($C$63="yes",H60*H62/1000000,0)</f>
        <v>212.95560000000003</v>
      </c>
      <c r="I63" s="35">
        <f t="shared" ref="I63:AH63" si="15">IF($C$63="yes",I60*I62/1000000,0)</f>
        <v>290.39400000000001</v>
      </c>
      <c r="J63" s="35">
        <f t="shared" si="15"/>
        <v>367.83240000000001</v>
      </c>
      <c r="K63" s="35">
        <f t="shared" si="15"/>
        <v>507.02792400000004</v>
      </c>
      <c r="L63" s="35">
        <f t="shared" si="15"/>
        <v>564.67887683999993</v>
      </c>
      <c r="M63" s="35">
        <f t="shared" si="15"/>
        <v>689.0903842212</v>
      </c>
      <c r="N63" s="35">
        <f t="shared" si="15"/>
        <v>736.97333143246794</v>
      </c>
      <c r="O63" s="35">
        <f t="shared" si="15"/>
        <v>847.86210944102766</v>
      </c>
      <c r="P63" s="35">
        <f t="shared" si="15"/>
        <v>903.05627029091409</v>
      </c>
      <c r="Q63" s="35">
        <f t="shared" si="15"/>
        <v>1016.7446043186095</v>
      </c>
      <c r="R63" s="35">
        <f t="shared" si="15"/>
        <v>1062.1070558959011</v>
      </c>
      <c r="S63" s="35">
        <f t="shared" si="15"/>
        <v>1103.8326902346687</v>
      </c>
      <c r="T63" s="35">
        <f t="shared" si="15"/>
        <v>1113.5464179087339</v>
      </c>
      <c r="U63" s="35">
        <f t="shared" si="15"/>
        <v>1121.6838725011437</v>
      </c>
      <c r="V63" s="35">
        <f t="shared" si="15"/>
        <v>1128.3308880418913</v>
      </c>
      <c r="W63" s="35">
        <f t="shared" si="15"/>
        <v>1133.569567164943</v>
      </c>
      <c r="X63" s="35">
        <f t="shared" si="15"/>
        <v>1137.4784277413737</v>
      </c>
      <c r="Y63" s="35">
        <f t="shared" si="15"/>
        <v>1140.1325440727703</v>
      </c>
      <c r="Z63" s="35">
        <f t="shared" si="15"/>
        <v>1141.603682839316</v>
      </c>
      <c r="AA63" s="35">
        <f t="shared" si="15"/>
        <v>1141.960433990203</v>
      </c>
      <c r="AB63" s="35">
        <f t="shared" si="15"/>
        <v>1141.2683367574816</v>
      </c>
      <c r="AC63" s="35">
        <f t="shared" si="15"/>
        <v>1139.5900009681322</v>
      </c>
      <c r="AD63" s="35">
        <f t="shared" si="15"/>
        <v>1136.9852238230621</v>
      </c>
      <c r="AE63" s="35">
        <f t="shared" si="15"/>
        <v>1133.511102305825</v>
      </c>
      <c r="AF63" s="35">
        <f t="shared" si="15"/>
        <v>1129.2221413781813</v>
      </c>
      <c r="AG63" s="35">
        <f t="shared" si="15"/>
        <v>1124.170358114121</v>
      </c>
      <c r="AH63" s="320">
        <f t="shared" si="15"/>
        <v>1118.4053819186638</v>
      </c>
      <c r="AI63" s="16"/>
      <c r="AJ63" s="90">
        <f>SUM(D63:AH63)</f>
        <v>25284.013626200631</v>
      </c>
    </row>
    <row r="64" spans="2:36" x14ac:dyDescent="0.25">
      <c r="B64" s="56"/>
      <c r="C64" s="109"/>
      <c r="D64" s="172"/>
      <c r="E64" s="321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322"/>
    </row>
    <row r="65" spans="2:36" ht="18.75" x14ac:dyDescent="0.3">
      <c r="B65" s="72" t="s">
        <v>27</v>
      </c>
      <c r="C65" s="109"/>
      <c r="D65" s="172"/>
      <c r="E65" s="321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322"/>
    </row>
    <row r="66" spans="2:36" ht="18.75" x14ac:dyDescent="0.3">
      <c r="B66" s="43" t="s">
        <v>47</v>
      </c>
      <c r="C66" s="115"/>
      <c r="D66" s="188"/>
      <c r="E66" s="323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322"/>
    </row>
    <row r="67" spans="2:36" x14ac:dyDescent="0.25">
      <c r="B67" s="343" t="s">
        <v>9</v>
      </c>
      <c r="C67" s="337"/>
      <c r="D67" s="338">
        <v>0.16028999999999999</v>
      </c>
      <c r="E67" s="339">
        <v>0.21</v>
      </c>
      <c r="F67" s="340">
        <v>0.245</v>
      </c>
      <c r="G67" s="340">
        <v>0.28000000000000003</v>
      </c>
      <c r="H67" s="340">
        <v>0.315</v>
      </c>
      <c r="I67" s="340">
        <v>0.35</v>
      </c>
      <c r="J67" s="340">
        <v>0.38</v>
      </c>
      <c r="K67" s="340">
        <v>0.41</v>
      </c>
      <c r="L67" s="340">
        <v>0.44</v>
      </c>
      <c r="M67" s="340">
        <v>0.47</v>
      </c>
      <c r="N67" s="340">
        <v>0.5</v>
      </c>
      <c r="O67" s="340">
        <f>N67+0.025</f>
        <v>0.52500000000000002</v>
      </c>
      <c r="P67" s="340">
        <f t="shared" ref="P67:AH67" si="16">O67+0.025</f>
        <v>0.55000000000000004</v>
      </c>
      <c r="Q67" s="340">
        <f t="shared" si="16"/>
        <v>0.57500000000000007</v>
      </c>
      <c r="R67" s="340">
        <f t="shared" si="16"/>
        <v>0.60000000000000009</v>
      </c>
      <c r="S67" s="340">
        <f t="shared" si="16"/>
        <v>0.62500000000000011</v>
      </c>
      <c r="T67" s="340">
        <f t="shared" si="16"/>
        <v>0.65000000000000013</v>
      </c>
      <c r="U67" s="340">
        <f t="shared" si="16"/>
        <v>0.67500000000000016</v>
      </c>
      <c r="V67" s="340">
        <f t="shared" si="16"/>
        <v>0.70000000000000018</v>
      </c>
      <c r="W67" s="340">
        <f t="shared" si="16"/>
        <v>0.7250000000000002</v>
      </c>
      <c r="X67" s="340">
        <f t="shared" si="16"/>
        <v>0.75000000000000022</v>
      </c>
      <c r="Y67" s="340">
        <f t="shared" si="16"/>
        <v>0.77500000000000024</v>
      </c>
      <c r="Z67" s="340">
        <f t="shared" si="16"/>
        <v>0.80000000000000027</v>
      </c>
      <c r="AA67" s="340">
        <f t="shared" si="16"/>
        <v>0.82500000000000029</v>
      </c>
      <c r="AB67" s="340">
        <f t="shared" si="16"/>
        <v>0.85000000000000031</v>
      </c>
      <c r="AC67" s="340">
        <f t="shared" si="16"/>
        <v>0.87500000000000033</v>
      </c>
      <c r="AD67" s="340">
        <f t="shared" si="16"/>
        <v>0.90000000000000036</v>
      </c>
      <c r="AE67" s="340">
        <f t="shared" si="16"/>
        <v>0.92500000000000038</v>
      </c>
      <c r="AF67" s="340">
        <f t="shared" si="16"/>
        <v>0.9500000000000004</v>
      </c>
      <c r="AG67" s="340">
        <f t="shared" si="16"/>
        <v>0.97500000000000042</v>
      </c>
      <c r="AH67" s="341">
        <f t="shared" si="16"/>
        <v>1.0000000000000004</v>
      </c>
    </row>
    <row r="68" spans="2:36" x14ac:dyDescent="0.25">
      <c r="B68" s="343" t="s">
        <v>21</v>
      </c>
      <c r="C68" s="337"/>
      <c r="D68" s="338">
        <f t="shared" ref="D68:AH68" si="17">D67-D38-D45-D50-D61</f>
        <v>0.10966177747625508</v>
      </c>
      <c r="E68" s="339">
        <f t="shared" si="17"/>
        <v>0.15350273385547511</v>
      </c>
      <c r="F68" s="340">
        <f t="shared" si="17"/>
        <v>0.18202843268219243</v>
      </c>
      <c r="G68" s="340">
        <f t="shared" si="17"/>
        <v>0.20576195684866672</v>
      </c>
      <c r="H68" s="340">
        <f t="shared" si="17"/>
        <v>0.18846642632971622</v>
      </c>
      <c r="I68" s="340">
        <f t="shared" si="17"/>
        <v>0.19755987428640467</v>
      </c>
      <c r="J68" s="340">
        <f t="shared" si="17"/>
        <v>0.20353652271892703</v>
      </c>
      <c r="K68" s="340">
        <f t="shared" si="17"/>
        <v>0.19277230208055757</v>
      </c>
      <c r="L68" s="340">
        <f t="shared" si="17"/>
        <v>0.20159674740608988</v>
      </c>
      <c r="M68" s="340">
        <f t="shared" si="17"/>
        <v>0.19594530012046354</v>
      </c>
      <c r="N68" s="340">
        <f t="shared" si="17"/>
        <v>0.20677153892881478</v>
      </c>
      <c r="O68" s="340">
        <f t="shared" si="17"/>
        <v>0.19644381376915426</v>
      </c>
      <c r="P68" s="340">
        <f t="shared" si="17"/>
        <v>0.19328660691973332</v>
      </c>
      <c r="Q68" s="340">
        <f t="shared" si="17"/>
        <v>0.17780927744246888</v>
      </c>
      <c r="R68" s="340">
        <f t="shared" si="17"/>
        <v>0.18534818000033532</v>
      </c>
      <c r="S68" s="340">
        <f t="shared" si="17"/>
        <v>0.18254646382031914</v>
      </c>
      <c r="T68" s="340">
        <f t="shared" si="17"/>
        <v>0.18728598194987717</v>
      </c>
      <c r="U68" s="340">
        <f t="shared" si="17"/>
        <v>0.19252640972605051</v>
      </c>
      <c r="V68" s="340">
        <f t="shared" si="17"/>
        <v>0.19825903155939179</v>
      </c>
      <c r="W68" s="340">
        <f t="shared" si="17"/>
        <v>0.20447526619904255</v>
      </c>
      <c r="X68" s="340">
        <f t="shared" si="17"/>
        <v>0.21116666477643242</v>
      </c>
      <c r="Y68" s="340">
        <f t="shared" si="17"/>
        <v>0.21832490887663397</v>
      </c>
      <c r="Z68" s="340">
        <f t="shared" si="17"/>
        <v>0.22594180863698898</v>
      </c>
      <c r="AA68" s="340">
        <f t="shared" si="17"/>
        <v>0.234009300872627</v>
      </c>
      <c r="AB68" s="340">
        <f t="shared" si="17"/>
        <v>0.24251944722850005</v>
      </c>
      <c r="AC68" s="340">
        <f t="shared" si="17"/>
        <v>0.25146443235756677</v>
      </c>
      <c r="AD68" s="340">
        <f t="shared" si="17"/>
        <v>0.26083656212476031</v>
      </c>
      <c r="AE68" s="340">
        <f t="shared" si="17"/>
        <v>0.27062826183638239</v>
      </c>
      <c r="AF68" s="340">
        <f t="shared" si="17"/>
        <v>0.28083207449456776</v>
      </c>
      <c r="AG68" s="340">
        <f t="shared" si="17"/>
        <v>0.2914406590764716</v>
      </c>
      <c r="AH68" s="341">
        <f t="shared" si="17"/>
        <v>0.30244678883783466</v>
      </c>
    </row>
    <row r="69" spans="2:36" x14ac:dyDescent="0.25">
      <c r="B69" s="343" t="s">
        <v>110</v>
      </c>
      <c r="C69" s="337"/>
      <c r="D69" s="175">
        <f>D70*1000000</f>
        <v>8082072.9999999991</v>
      </c>
      <c r="E69" s="298">
        <f>E70*1000000</f>
        <v>11426283</v>
      </c>
      <c r="F69" s="136">
        <f t="shared" ref="F69:AH69" si="18">F70*1000000</f>
        <v>13685146.948000001</v>
      </c>
      <c r="G69" s="136">
        <f t="shared" si="18"/>
        <v>15624160.467861284</v>
      </c>
      <c r="H69" s="136">
        <f t="shared" si="18"/>
        <v>14453964.329494627</v>
      </c>
      <c r="I69" s="136">
        <f t="shared" si="18"/>
        <v>15302877.365479836</v>
      </c>
      <c r="J69" s="136">
        <f t="shared" si="18"/>
        <v>15923483.462380728</v>
      </c>
      <c r="K69" s="136">
        <f t="shared" si="18"/>
        <v>15232168.597613411</v>
      </c>
      <c r="L69" s="136">
        <f t="shared" si="18"/>
        <v>16088738.725422161</v>
      </c>
      <c r="M69" s="136">
        <f t="shared" si="18"/>
        <v>15794093.438818604</v>
      </c>
      <c r="N69" s="136">
        <f t="shared" si="18"/>
        <v>16833405.518609058</v>
      </c>
      <c r="O69" s="136">
        <f t="shared" si="18"/>
        <v>16152544.880638029</v>
      </c>
      <c r="P69" s="136">
        <f t="shared" si="18"/>
        <v>16051873.757316241</v>
      </c>
      <c r="Q69" s="136">
        <f t="shared" si="18"/>
        <v>14914193.182185162</v>
      </c>
      <c r="R69" s="136">
        <f t="shared" si="18"/>
        <v>15702002.664173119</v>
      </c>
      <c r="S69" s="136">
        <f t="shared" si="18"/>
        <v>15619298.294966888</v>
      </c>
      <c r="T69" s="136">
        <f t="shared" si="18"/>
        <v>16185075.913792957</v>
      </c>
      <c r="U69" s="136">
        <f t="shared" si="18"/>
        <v>16804328.170362886</v>
      </c>
      <c r="V69" s="136">
        <f t="shared" si="18"/>
        <v>17477736.857717302</v>
      </c>
      <c r="W69" s="136">
        <f t="shared" si="18"/>
        <v>18205993.023942828</v>
      </c>
      <c r="X69" s="136">
        <f t="shared" si="18"/>
        <v>18989797.085224554</v>
      </c>
      <c r="Y69" s="136">
        <f t="shared" si="18"/>
        <v>19829858.940249436</v>
      </c>
      <c r="Z69" s="136">
        <f t="shared" si="18"/>
        <v>20726898.085976444</v>
      </c>
      <c r="AA69" s="136">
        <f t="shared" si="18"/>
        <v>21681643.734789204</v>
      </c>
      <c r="AB69" s="136">
        <f t="shared" si="18"/>
        <v>22694834.933047049</v>
      </c>
      <c r="AC69" s="136">
        <f t="shared" si="18"/>
        <v>23767220.681050852</v>
      </c>
      <c r="AD69" s="136">
        <f t="shared" si="18"/>
        <v>24899560.054439869</v>
      </c>
      <c r="AE69" s="136">
        <f t="shared" si="18"/>
        <v>26092622.327036321</v>
      </c>
      <c r="AF69" s="136">
        <f t="shared" si="18"/>
        <v>27347187.095154226</v>
      </c>
      <c r="AG69" s="136">
        <f t="shared" si="18"/>
        <v>28664044.403389648</v>
      </c>
      <c r="AH69" s="299">
        <f t="shared" si="18"/>
        <v>30043994.871909399</v>
      </c>
    </row>
    <row r="70" spans="2:36" x14ac:dyDescent="0.25">
      <c r="B70" s="343" t="s">
        <v>11</v>
      </c>
      <c r="C70" s="116"/>
      <c r="D70" s="189">
        <f t="shared" ref="D70:AH70" si="19">D68*D37</f>
        <v>8.0820729999999994</v>
      </c>
      <c r="E70" s="324">
        <f t="shared" si="19"/>
        <v>11.426283</v>
      </c>
      <c r="F70" s="23">
        <f t="shared" si="19"/>
        <v>13.685146948000002</v>
      </c>
      <c r="G70" s="23">
        <f t="shared" si="19"/>
        <v>15.624160467861284</v>
      </c>
      <c r="H70" s="23">
        <f t="shared" si="19"/>
        <v>14.453964329494628</v>
      </c>
      <c r="I70" s="23">
        <f t="shared" si="19"/>
        <v>15.302877365479837</v>
      </c>
      <c r="J70" s="23">
        <f t="shared" si="19"/>
        <v>15.923483462380728</v>
      </c>
      <c r="K70" s="23">
        <f t="shared" si="19"/>
        <v>15.232168597613411</v>
      </c>
      <c r="L70" s="23">
        <f t="shared" si="19"/>
        <v>16.088738725422161</v>
      </c>
      <c r="M70" s="23">
        <f t="shared" si="19"/>
        <v>15.794093438818603</v>
      </c>
      <c r="N70" s="23">
        <f t="shared" si="19"/>
        <v>16.833405518609059</v>
      </c>
      <c r="O70" s="23">
        <f t="shared" si="19"/>
        <v>16.152544880638029</v>
      </c>
      <c r="P70" s="23">
        <f t="shared" si="19"/>
        <v>16.05187375731624</v>
      </c>
      <c r="Q70" s="23">
        <f t="shared" si="19"/>
        <v>14.914193182185162</v>
      </c>
      <c r="R70" s="23">
        <f t="shared" si="19"/>
        <v>15.702002664173119</v>
      </c>
      <c r="S70" s="23">
        <f t="shared" si="19"/>
        <v>15.619298294966887</v>
      </c>
      <c r="T70" s="23">
        <f t="shared" si="19"/>
        <v>16.185075913792957</v>
      </c>
      <c r="U70" s="23">
        <f t="shared" si="19"/>
        <v>16.804328170362886</v>
      </c>
      <c r="V70" s="23">
        <f t="shared" si="19"/>
        <v>17.4777368577173</v>
      </c>
      <c r="W70" s="23">
        <f t="shared" si="19"/>
        <v>18.205993023942828</v>
      </c>
      <c r="X70" s="23">
        <f t="shared" si="19"/>
        <v>18.989797085224552</v>
      </c>
      <c r="Y70" s="23">
        <f t="shared" si="19"/>
        <v>19.829858940249437</v>
      </c>
      <c r="Z70" s="23">
        <f t="shared" si="19"/>
        <v>20.726898085976444</v>
      </c>
      <c r="AA70" s="23">
        <f t="shared" si="19"/>
        <v>21.681643734789205</v>
      </c>
      <c r="AB70" s="23">
        <f t="shared" si="19"/>
        <v>22.694834933047048</v>
      </c>
      <c r="AC70" s="23">
        <f t="shared" si="19"/>
        <v>23.767220681050851</v>
      </c>
      <c r="AD70" s="23">
        <f t="shared" si="19"/>
        <v>24.899560054439867</v>
      </c>
      <c r="AE70" s="23">
        <f t="shared" si="19"/>
        <v>26.09262232703632</v>
      </c>
      <c r="AF70" s="23">
        <f t="shared" si="19"/>
        <v>27.347187095154226</v>
      </c>
      <c r="AG70" s="23">
        <f t="shared" si="19"/>
        <v>28.664044403389646</v>
      </c>
      <c r="AH70" s="46">
        <f t="shared" si="19"/>
        <v>30.043994871909398</v>
      </c>
    </row>
    <row r="71" spans="2:36" x14ac:dyDescent="0.25">
      <c r="B71" s="343" t="s">
        <v>8</v>
      </c>
      <c r="C71" s="117"/>
      <c r="D71" s="190">
        <v>7.5</v>
      </c>
      <c r="E71" s="325">
        <v>10</v>
      </c>
      <c r="F71" s="48">
        <v>11</v>
      </c>
      <c r="G71" s="48">
        <v>11</v>
      </c>
      <c r="H71" s="48">
        <v>11</v>
      </c>
      <c r="I71" s="48">
        <v>11</v>
      </c>
      <c r="J71" s="48">
        <v>11</v>
      </c>
      <c r="K71" s="48">
        <v>11</v>
      </c>
      <c r="L71" s="48">
        <v>11</v>
      </c>
      <c r="M71" s="48">
        <v>11</v>
      </c>
      <c r="N71" s="48">
        <v>11</v>
      </c>
      <c r="O71" s="48">
        <v>11</v>
      </c>
      <c r="P71" s="48">
        <v>11</v>
      </c>
      <c r="Q71" s="48">
        <v>11</v>
      </c>
      <c r="R71" s="48">
        <v>11</v>
      </c>
      <c r="S71" s="48">
        <v>11</v>
      </c>
      <c r="T71" s="48">
        <v>11</v>
      </c>
      <c r="U71" s="48">
        <v>11</v>
      </c>
      <c r="V71" s="48">
        <v>11</v>
      </c>
      <c r="W71" s="48">
        <v>11</v>
      </c>
      <c r="X71" s="48">
        <v>11</v>
      </c>
      <c r="Y71" s="48">
        <v>11</v>
      </c>
      <c r="Z71" s="48">
        <v>11</v>
      </c>
      <c r="AA71" s="48">
        <v>11</v>
      </c>
      <c r="AB71" s="48">
        <v>11</v>
      </c>
      <c r="AC71" s="48">
        <v>11</v>
      </c>
      <c r="AD71" s="48">
        <v>11</v>
      </c>
      <c r="AE71" s="48">
        <v>11</v>
      </c>
      <c r="AF71" s="48">
        <v>11</v>
      </c>
      <c r="AG71" s="48">
        <v>11</v>
      </c>
      <c r="AH71" s="326">
        <v>11</v>
      </c>
    </row>
    <row r="72" spans="2:36" ht="18.75" x14ac:dyDescent="0.3">
      <c r="B72" s="344" t="s">
        <v>45</v>
      </c>
      <c r="C72" s="162" t="s">
        <v>60</v>
      </c>
      <c r="D72" s="177">
        <f>IF($C$72="yes",D71*D70,0)</f>
        <v>60.615547499999998</v>
      </c>
      <c r="E72" s="342">
        <f t="shared" ref="E72:AH72" si="20">IF($C$72="yes",E71*E70,0)</f>
        <v>114.26282999999999</v>
      </c>
      <c r="F72" s="35">
        <f t="shared" si="20"/>
        <v>150.53661642800003</v>
      </c>
      <c r="G72" s="35">
        <f t="shared" si="20"/>
        <v>171.86576514647413</v>
      </c>
      <c r="H72" s="35">
        <f t="shared" si="20"/>
        <v>158.9936076244409</v>
      </c>
      <c r="I72" s="35">
        <f t="shared" si="20"/>
        <v>168.3316510202782</v>
      </c>
      <c r="J72" s="35">
        <f t="shared" si="20"/>
        <v>175.15831808618802</v>
      </c>
      <c r="K72" s="35">
        <f t="shared" si="20"/>
        <v>167.55385457374751</v>
      </c>
      <c r="L72" s="35">
        <f t="shared" si="20"/>
        <v>176.97612597964377</v>
      </c>
      <c r="M72" s="35">
        <f t="shared" si="20"/>
        <v>173.73502782700464</v>
      </c>
      <c r="N72" s="35">
        <f t="shared" si="20"/>
        <v>185.16746070469964</v>
      </c>
      <c r="O72" s="35">
        <f t="shared" si="20"/>
        <v>177.67799368701833</v>
      </c>
      <c r="P72" s="35">
        <f t="shared" si="20"/>
        <v>176.57061133047864</v>
      </c>
      <c r="Q72" s="35">
        <f t="shared" si="20"/>
        <v>164.05612500403677</v>
      </c>
      <c r="R72" s="35">
        <f t="shared" si="20"/>
        <v>172.7220293059043</v>
      </c>
      <c r="S72" s="35">
        <f t="shared" si="20"/>
        <v>171.81228124463576</v>
      </c>
      <c r="T72" s="35">
        <f t="shared" si="20"/>
        <v>178.03583505172253</v>
      </c>
      <c r="U72" s="35">
        <f t="shared" si="20"/>
        <v>184.84760987399176</v>
      </c>
      <c r="V72" s="35">
        <f t="shared" si="20"/>
        <v>192.25510543489031</v>
      </c>
      <c r="W72" s="35">
        <f t="shared" si="20"/>
        <v>200.26592326337109</v>
      </c>
      <c r="X72" s="35">
        <f t="shared" si="20"/>
        <v>208.88776793747007</v>
      </c>
      <c r="Y72" s="35">
        <f t="shared" si="20"/>
        <v>218.12844834274381</v>
      </c>
      <c r="Z72" s="35">
        <f t="shared" si="20"/>
        <v>227.99587894574088</v>
      </c>
      <c r="AA72" s="35">
        <f t="shared" si="20"/>
        <v>238.49808108268127</v>
      </c>
      <c r="AB72" s="35">
        <f t="shared" si="20"/>
        <v>249.64318426351753</v>
      </c>
      <c r="AC72" s="35">
        <f t="shared" si="20"/>
        <v>261.43942749155934</v>
      </c>
      <c r="AD72" s="35">
        <f t="shared" si="20"/>
        <v>273.89516059883852</v>
      </c>
      <c r="AE72" s="35">
        <f t="shared" si="20"/>
        <v>287.01884559739955</v>
      </c>
      <c r="AF72" s="35">
        <f t="shared" si="20"/>
        <v>300.81905804669645</v>
      </c>
      <c r="AG72" s="35">
        <f t="shared" si="20"/>
        <v>315.30448843728612</v>
      </c>
      <c r="AH72" s="320">
        <f t="shared" si="20"/>
        <v>330.48394359100337</v>
      </c>
      <c r="AI72" s="16"/>
      <c r="AJ72" s="90">
        <f>SUM(D72:AH72)</f>
        <v>6233.5546034214631</v>
      </c>
    </row>
    <row r="73" spans="2:36" x14ac:dyDescent="0.25">
      <c r="B73" s="25"/>
      <c r="C73" s="115"/>
      <c r="D73" s="188"/>
      <c r="E73" s="327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294"/>
    </row>
    <row r="74" spans="2:36" ht="18.75" x14ac:dyDescent="0.3">
      <c r="B74" s="72" t="s">
        <v>28</v>
      </c>
      <c r="C74" s="109"/>
      <c r="D74" s="182"/>
      <c r="E74" s="328"/>
      <c r="F74" s="81"/>
      <c r="G74" s="82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329"/>
    </row>
    <row r="75" spans="2:36" x14ac:dyDescent="0.25">
      <c r="B75" s="345" t="s">
        <v>111</v>
      </c>
      <c r="C75" s="111"/>
      <c r="D75" s="191">
        <f>(1176+1138+636)*8760*0.92</f>
        <v>23774640</v>
      </c>
      <c r="E75" s="312">
        <f>(1176+1138+636)*8760*0.92</f>
        <v>23774640</v>
      </c>
      <c r="F75" s="138">
        <f>(1176+1138+636)*8760*0.92</f>
        <v>23774640</v>
      </c>
      <c r="G75" s="138">
        <f t="shared" ref="G75:T75" si="21">(1176+1138+636)*8760*0.92</f>
        <v>23774640</v>
      </c>
      <c r="H75" s="138">
        <f t="shared" si="21"/>
        <v>23774640</v>
      </c>
      <c r="I75" s="138">
        <f t="shared" si="21"/>
        <v>23774640</v>
      </c>
      <c r="J75" s="138">
        <f t="shared" si="21"/>
        <v>23774640</v>
      </c>
      <c r="K75" s="138">
        <f t="shared" si="21"/>
        <v>23774640</v>
      </c>
      <c r="L75" s="138">
        <f t="shared" si="21"/>
        <v>23774640</v>
      </c>
      <c r="M75" s="138">
        <f t="shared" si="21"/>
        <v>23774640</v>
      </c>
      <c r="N75" s="138">
        <f t="shared" si="21"/>
        <v>23774640</v>
      </c>
      <c r="O75" s="138">
        <f t="shared" si="21"/>
        <v>23774640</v>
      </c>
      <c r="P75" s="138">
        <f t="shared" si="21"/>
        <v>23774640</v>
      </c>
      <c r="Q75" s="138">
        <f t="shared" si="21"/>
        <v>23774640</v>
      </c>
      <c r="R75" s="138">
        <f t="shared" si="21"/>
        <v>23774640</v>
      </c>
      <c r="S75" s="138">
        <f t="shared" si="21"/>
        <v>23774640</v>
      </c>
      <c r="T75" s="138">
        <f t="shared" si="21"/>
        <v>23774640</v>
      </c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317"/>
    </row>
    <row r="76" spans="2:36" ht="18.75" x14ac:dyDescent="0.3">
      <c r="B76" s="346" t="s">
        <v>23</v>
      </c>
      <c r="C76" s="162" t="s">
        <v>60</v>
      </c>
      <c r="D76" s="192">
        <f>IF($C$76="yes",D37*4,0)</f>
        <v>294.8</v>
      </c>
      <c r="E76" s="330">
        <f t="shared" ref="E76:L76" si="22">IF($C$76="yes",E37*4,0)</f>
        <v>297.74799999999999</v>
      </c>
      <c r="F76" s="63">
        <f t="shared" si="22"/>
        <v>300.72548</v>
      </c>
      <c r="G76" s="63">
        <f t="shared" si="22"/>
        <v>303.7327348</v>
      </c>
      <c r="H76" s="63">
        <f t="shared" si="22"/>
        <v>306.77006214800002</v>
      </c>
      <c r="I76" s="63">
        <f t="shared" si="22"/>
        <v>309.83776276948004</v>
      </c>
      <c r="J76" s="63">
        <f t="shared" si="22"/>
        <v>312.93614039717482</v>
      </c>
      <c r="K76" s="63">
        <f t="shared" si="22"/>
        <v>316.06550180114658</v>
      </c>
      <c r="L76" s="63">
        <f t="shared" si="22"/>
        <v>319.22615681915806</v>
      </c>
      <c r="M76" s="63">
        <f>IF($C$76="yes",M37*2.5,0)</f>
        <v>201.51151149209355</v>
      </c>
      <c r="N76" s="63">
        <f t="shared" ref="N76:T76" si="23">IF($C$76="yes",N37*2.5,0)</f>
        <v>203.52662660701446</v>
      </c>
      <c r="O76" s="63">
        <f t="shared" si="23"/>
        <v>205.56189287308462</v>
      </c>
      <c r="P76" s="63">
        <f t="shared" si="23"/>
        <v>207.61751180181548</v>
      </c>
      <c r="Q76" s="63">
        <f t="shared" si="23"/>
        <v>209.69368691983362</v>
      </c>
      <c r="R76" s="63">
        <f t="shared" si="23"/>
        <v>211.79062378903197</v>
      </c>
      <c r="S76" s="63">
        <f t="shared" si="23"/>
        <v>213.90853002692228</v>
      </c>
      <c r="T76" s="63">
        <f t="shared" si="23"/>
        <v>216.04761532719152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00"/>
      <c r="AI76" s="16"/>
      <c r="AJ76" s="90">
        <f>SUM(D76:AH76)</f>
        <v>4431.499837571947</v>
      </c>
    </row>
    <row r="77" spans="2:36" x14ac:dyDescent="0.25">
      <c r="B77" s="27"/>
      <c r="C77" s="118"/>
      <c r="D77" s="172"/>
      <c r="E77" s="29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294"/>
    </row>
    <row r="78" spans="2:36" x14ac:dyDescent="0.25">
      <c r="C78" s="118"/>
      <c r="D78" s="172"/>
      <c r="E78" s="29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294"/>
    </row>
    <row r="79" spans="2:36" ht="18.75" x14ac:dyDescent="0.3">
      <c r="B79" s="72" t="s">
        <v>115</v>
      </c>
      <c r="C79" s="118"/>
      <c r="D79" s="172"/>
      <c r="E79" s="2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294"/>
    </row>
    <row r="80" spans="2:36" x14ac:dyDescent="0.25">
      <c r="B80" s="163" t="s">
        <v>113</v>
      </c>
      <c r="C80" s="164"/>
      <c r="D80" s="193"/>
      <c r="E80" s="331">
        <v>0</v>
      </c>
      <c r="F80" s="52">
        <v>7.4999999999999997E-3</v>
      </c>
      <c r="G80" s="290">
        <f>F80+0.0075</f>
        <v>1.4999999999999999E-2</v>
      </c>
      <c r="H80" s="290">
        <f t="shared" ref="H80:AH80" si="24">G80+0.0075</f>
        <v>2.2499999999999999E-2</v>
      </c>
      <c r="I80" s="290">
        <f t="shared" si="24"/>
        <v>0.03</v>
      </c>
      <c r="J80" s="290">
        <f t="shared" si="24"/>
        <v>3.7499999999999999E-2</v>
      </c>
      <c r="K80" s="290">
        <f t="shared" si="24"/>
        <v>4.4999999999999998E-2</v>
      </c>
      <c r="L80" s="290">
        <f t="shared" si="24"/>
        <v>5.2499999999999998E-2</v>
      </c>
      <c r="M80" s="290">
        <f t="shared" si="24"/>
        <v>0.06</v>
      </c>
      <c r="N80" s="290">
        <f t="shared" si="24"/>
        <v>6.7500000000000004E-2</v>
      </c>
      <c r="O80" s="290">
        <f t="shared" si="24"/>
        <v>7.5000000000000011E-2</v>
      </c>
      <c r="P80" s="290">
        <f t="shared" si="24"/>
        <v>8.2500000000000018E-2</v>
      </c>
      <c r="Q80" s="290">
        <f t="shared" si="24"/>
        <v>9.0000000000000024E-2</v>
      </c>
      <c r="R80" s="290">
        <f t="shared" si="24"/>
        <v>9.7500000000000031E-2</v>
      </c>
      <c r="S80" s="290">
        <f t="shared" si="24"/>
        <v>0.10500000000000004</v>
      </c>
      <c r="T80" s="290">
        <f t="shared" si="24"/>
        <v>0.11250000000000004</v>
      </c>
      <c r="U80" s="290">
        <f t="shared" si="24"/>
        <v>0.12000000000000005</v>
      </c>
      <c r="V80" s="290">
        <f t="shared" si="24"/>
        <v>0.12750000000000006</v>
      </c>
      <c r="W80" s="290">
        <f t="shared" si="24"/>
        <v>0.13500000000000006</v>
      </c>
      <c r="X80" s="290">
        <f t="shared" si="24"/>
        <v>0.14250000000000007</v>
      </c>
      <c r="Y80" s="290">
        <f t="shared" si="24"/>
        <v>0.15000000000000008</v>
      </c>
      <c r="Z80" s="290">
        <f t="shared" si="24"/>
        <v>0.15750000000000008</v>
      </c>
      <c r="AA80" s="290">
        <f t="shared" si="24"/>
        <v>0.16500000000000009</v>
      </c>
      <c r="AB80" s="290">
        <f t="shared" si="24"/>
        <v>0.1725000000000001</v>
      </c>
      <c r="AC80" s="290">
        <f t="shared" si="24"/>
        <v>0.1800000000000001</v>
      </c>
      <c r="AD80" s="290">
        <f t="shared" si="24"/>
        <v>0.18750000000000011</v>
      </c>
      <c r="AE80" s="290">
        <f t="shared" si="24"/>
        <v>0.19500000000000012</v>
      </c>
      <c r="AF80" s="290">
        <f t="shared" si="24"/>
        <v>0.20250000000000012</v>
      </c>
      <c r="AG80" s="290">
        <f t="shared" si="24"/>
        <v>0.21000000000000013</v>
      </c>
      <c r="AH80" s="332">
        <f t="shared" si="24"/>
        <v>0.21750000000000014</v>
      </c>
    </row>
    <row r="81" spans="1:37" x14ac:dyDescent="0.25">
      <c r="B81" s="345" t="s">
        <v>112</v>
      </c>
      <c r="C81" s="348"/>
      <c r="D81" s="179"/>
      <c r="E81" s="331"/>
      <c r="F81" s="136">
        <f>F80*F37*1000000</f>
        <v>563860.27500000002</v>
      </c>
      <c r="G81" s="136">
        <f>G80*G37*1000000</f>
        <v>1138997.7555</v>
      </c>
      <c r="H81" s="136">
        <f t="shared" ref="H81:AH81" si="25">H80*H37*1000000</f>
        <v>1725581.5995825001</v>
      </c>
      <c r="I81" s="136">
        <f t="shared" si="25"/>
        <v>2323783.2207711004</v>
      </c>
      <c r="J81" s="136">
        <f t="shared" si="25"/>
        <v>2933776.3162235138</v>
      </c>
      <c r="K81" s="136">
        <f t="shared" si="25"/>
        <v>3555736.8952628989</v>
      </c>
      <c r="L81" s="136">
        <f t="shared" si="25"/>
        <v>4189843.3082514489</v>
      </c>
      <c r="M81" s="136">
        <f t="shared" si="25"/>
        <v>4836276.2758102445</v>
      </c>
      <c r="N81" s="136">
        <f t="shared" si="25"/>
        <v>5495218.9183893912</v>
      </c>
      <c r="O81" s="136">
        <f t="shared" si="25"/>
        <v>6166856.7861925401</v>
      </c>
      <c r="P81" s="136">
        <f t="shared" si="25"/>
        <v>6851377.8894599127</v>
      </c>
      <c r="Q81" s="136">
        <f t="shared" si="25"/>
        <v>7548972.7291140128</v>
      </c>
      <c r="R81" s="136">
        <f t="shared" si="25"/>
        <v>8259834.3277722495</v>
      </c>
      <c r="S81" s="136">
        <f t="shared" si="25"/>
        <v>8984158.261130739</v>
      </c>
      <c r="T81" s="136">
        <f t="shared" si="25"/>
        <v>9722142.6897236221</v>
      </c>
      <c r="U81" s="136">
        <f t="shared" si="25"/>
        <v>10473988.39106225</v>
      </c>
      <c r="V81" s="136">
        <f t="shared" si="25"/>
        <v>11239898.792158676</v>
      </c>
      <c r="W81" s="136">
        <f t="shared" si="25"/>
        <v>12020080.002437927</v>
      </c>
      <c r="X81" s="136">
        <f t="shared" si="25"/>
        <v>12814740.847043548</v>
      </c>
      <c r="Y81" s="136">
        <f t="shared" si="25"/>
        <v>13624092.900541034</v>
      </c>
      <c r="Z81" s="136">
        <f t="shared" si="25"/>
        <v>14448350.521023765</v>
      </c>
      <c r="AA81" s="136">
        <f t="shared" si="25"/>
        <v>15287730.884626098</v>
      </c>
      <c r="AB81" s="136">
        <f t="shared" si="25"/>
        <v>16142454.020448375</v>
      </c>
      <c r="AC81" s="136">
        <f t="shared" si="25"/>
        <v>17012742.845898636</v>
      </c>
      <c r="AD81" s="136">
        <f t="shared" si="25"/>
        <v>17898823.202455856</v>
      </c>
      <c r="AE81" s="136">
        <f t="shared" si="25"/>
        <v>18800923.891859632</v>
      </c>
      <c r="AF81" s="136">
        <f t="shared" si="25"/>
        <v>19719276.712731235</v>
      </c>
      <c r="AG81" s="136">
        <f t="shared" si="25"/>
        <v>20654116.497631088</v>
      </c>
      <c r="AH81" s="136">
        <f t="shared" si="25"/>
        <v>21605681.15055766</v>
      </c>
    </row>
    <row r="82" spans="1:37" ht="18.75" x14ac:dyDescent="0.3">
      <c r="B82" s="349" t="s">
        <v>114</v>
      </c>
      <c r="C82" s="162" t="s">
        <v>60</v>
      </c>
      <c r="D82" s="194">
        <f>IF($C$82="yes",150,0)</f>
        <v>150</v>
      </c>
      <c r="E82" s="333">
        <f>IF($C$82="yes",175,0)</f>
        <v>175</v>
      </c>
      <c r="F82" s="65">
        <f>IF($C$82="yes",200,0)</f>
        <v>200</v>
      </c>
      <c r="G82" s="65">
        <f>IF($C$82="yes",225,0)</f>
        <v>225</v>
      </c>
      <c r="H82" s="65">
        <f t="shared" ref="H82:K82" si="26">IF($C$82="yes",225,0)</f>
        <v>225</v>
      </c>
      <c r="I82" s="65">
        <f t="shared" si="26"/>
        <v>225</v>
      </c>
      <c r="J82" s="65">
        <f t="shared" si="26"/>
        <v>225</v>
      </c>
      <c r="K82" s="65">
        <f t="shared" si="26"/>
        <v>225</v>
      </c>
      <c r="L82" s="73">
        <f>IF($C$82="yes",K82*0.925,0)</f>
        <v>208.125</v>
      </c>
      <c r="M82" s="73">
        <f t="shared" ref="M82:AH82" si="27">IF($C$82="yes",L82*0.925,0)</f>
        <v>192.515625</v>
      </c>
      <c r="N82" s="73">
        <f t="shared" si="27"/>
        <v>178.07695312500002</v>
      </c>
      <c r="O82" s="73">
        <f t="shared" si="27"/>
        <v>164.72118164062502</v>
      </c>
      <c r="P82" s="73">
        <f t="shared" si="27"/>
        <v>152.36709301757816</v>
      </c>
      <c r="Q82" s="73">
        <f t="shared" si="27"/>
        <v>140.93956104125979</v>
      </c>
      <c r="R82" s="73">
        <f t="shared" si="27"/>
        <v>130.36909396316531</v>
      </c>
      <c r="S82" s="73">
        <f t="shared" si="27"/>
        <v>120.59141191592792</v>
      </c>
      <c r="T82" s="73">
        <f t="shared" si="27"/>
        <v>111.54705602223333</v>
      </c>
      <c r="U82" s="73">
        <f t="shared" si="27"/>
        <v>103.18102682056583</v>
      </c>
      <c r="V82" s="73">
        <f t="shared" si="27"/>
        <v>95.442449809023401</v>
      </c>
      <c r="W82" s="73">
        <f t="shared" si="27"/>
        <v>88.284266073346643</v>
      </c>
      <c r="X82" s="73">
        <f t="shared" si="27"/>
        <v>81.662946117845649</v>
      </c>
      <c r="Y82" s="73">
        <f t="shared" si="27"/>
        <v>75.538225159007226</v>
      </c>
      <c r="Z82" s="73">
        <f t="shared" si="27"/>
        <v>69.872858272081686</v>
      </c>
      <c r="AA82" s="73">
        <f t="shared" si="27"/>
        <v>64.632393901675556</v>
      </c>
      <c r="AB82" s="73">
        <f t="shared" si="27"/>
        <v>59.784964359049894</v>
      </c>
      <c r="AC82" s="73">
        <f t="shared" si="27"/>
        <v>55.301092032121154</v>
      </c>
      <c r="AD82" s="73">
        <f t="shared" si="27"/>
        <v>51.153510129712068</v>
      </c>
      <c r="AE82" s="73">
        <f t="shared" si="27"/>
        <v>47.316996869983662</v>
      </c>
      <c r="AF82" s="73">
        <f t="shared" si="27"/>
        <v>43.768222104734889</v>
      </c>
      <c r="AG82" s="73">
        <f t="shared" si="27"/>
        <v>40.485605446879774</v>
      </c>
      <c r="AH82" s="334">
        <f t="shared" si="27"/>
        <v>37.449185038363794</v>
      </c>
      <c r="AI82" s="16"/>
      <c r="AJ82" s="90">
        <f>SUM(D82:AH82)</f>
        <v>3963.1267178601811</v>
      </c>
    </row>
    <row r="83" spans="1:37" ht="18.75" x14ac:dyDescent="0.3">
      <c r="B83" s="350"/>
      <c r="C83" s="112"/>
      <c r="D83" s="172"/>
      <c r="E83" s="35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00"/>
    </row>
    <row r="84" spans="1:37" ht="18.75" x14ac:dyDescent="0.3">
      <c r="B84" s="349" t="s">
        <v>24</v>
      </c>
      <c r="C84" s="162" t="s">
        <v>60</v>
      </c>
      <c r="D84" s="195"/>
      <c r="E84" s="333"/>
      <c r="F84" s="65">
        <f>IF($C$84="yes",30,0)</f>
        <v>30</v>
      </c>
      <c r="G84" s="65">
        <f>IF($C$84="yes",60,0)</f>
        <v>60</v>
      </c>
      <c r="H84" s="65">
        <f>IF($C$84="yes",100,0)</f>
        <v>100</v>
      </c>
      <c r="I84" s="65">
        <f>IF($C$84="yes",125,0)</f>
        <v>125</v>
      </c>
      <c r="J84" s="65">
        <f>IF($C$84="yes",125,0)</f>
        <v>125</v>
      </c>
      <c r="K84" s="65">
        <f>IF($C$84="yes",150,0)</f>
        <v>150</v>
      </c>
      <c r="L84" s="65">
        <f>IF($C$84="yes",150,0)</f>
        <v>150</v>
      </c>
      <c r="M84" s="65">
        <f>IF($C$84="yes",175,0)</f>
        <v>175</v>
      </c>
      <c r="N84" s="65">
        <f>IF($C$84="yes",175,0)</f>
        <v>175</v>
      </c>
      <c r="O84" s="65">
        <f>IF($C$84="yes",200,0)</f>
        <v>200</v>
      </c>
      <c r="P84" s="65">
        <f>IF($C$84="yes",200,0)</f>
        <v>200</v>
      </c>
      <c r="Q84" s="65">
        <f>IF($C$84="yes",175,0)</f>
        <v>175</v>
      </c>
      <c r="R84" s="65">
        <f>IF($C$84="yes",175,0)</f>
        <v>175</v>
      </c>
      <c r="S84" s="65">
        <f>IF($C$84="yes",150,0)</f>
        <v>150</v>
      </c>
      <c r="T84" s="65">
        <f>IF($C$84="yes",150,0)</f>
        <v>150</v>
      </c>
      <c r="U84" s="65">
        <f>IF($C$84="yes",150,0)</f>
        <v>150</v>
      </c>
      <c r="V84" s="65">
        <f t="shared" ref="V84:AH84" si="28">IF($C$84="yes",125,0)</f>
        <v>125</v>
      </c>
      <c r="W84" s="65">
        <f t="shared" si="28"/>
        <v>125</v>
      </c>
      <c r="X84" s="65">
        <f t="shared" si="28"/>
        <v>125</v>
      </c>
      <c r="Y84" s="65">
        <f t="shared" si="28"/>
        <v>125</v>
      </c>
      <c r="Z84" s="65">
        <f t="shared" si="28"/>
        <v>125</v>
      </c>
      <c r="AA84" s="65">
        <f t="shared" si="28"/>
        <v>125</v>
      </c>
      <c r="AB84" s="65">
        <f t="shared" si="28"/>
        <v>125</v>
      </c>
      <c r="AC84" s="65">
        <f t="shared" si="28"/>
        <v>125</v>
      </c>
      <c r="AD84" s="65">
        <f t="shared" si="28"/>
        <v>125</v>
      </c>
      <c r="AE84" s="65">
        <f t="shared" si="28"/>
        <v>125</v>
      </c>
      <c r="AF84" s="65">
        <f t="shared" si="28"/>
        <v>125</v>
      </c>
      <c r="AG84" s="65">
        <f t="shared" si="28"/>
        <v>125</v>
      </c>
      <c r="AH84" s="335">
        <f t="shared" si="28"/>
        <v>125</v>
      </c>
      <c r="AI84" s="16"/>
      <c r="AJ84" s="90">
        <f>SUM(D84:AH84)</f>
        <v>3915</v>
      </c>
    </row>
    <row r="85" spans="1:37" ht="18.75" x14ac:dyDescent="0.3">
      <c r="B85" s="351"/>
      <c r="C85" s="352"/>
      <c r="D85" s="172"/>
      <c r="E85" s="303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00"/>
    </row>
    <row r="86" spans="1:37" ht="21" x14ac:dyDescent="0.3">
      <c r="B86" s="347" t="s">
        <v>157</v>
      </c>
      <c r="C86" s="120" t="s">
        <v>60</v>
      </c>
      <c r="D86" s="194">
        <f>IF($C$86="yes",20,0)</f>
        <v>20</v>
      </c>
      <c r="E86" s="333">
        <f>IF($C$86="yes",0,0)</f>
        <v>0</v>
      </c>
      <c r="F86" s="65">
        <f>IF($C$86="yes",10,0)</f>
        <v>10</v>
      </c>
      <c r="G86" s="66">
        <f>IF($C$86="yes",50,0)</f>
        <v>50</v>
      </c>
      <c r="H86" s="66">
        <f>IF($C$86="yes",75,0)</f>
        <v>75</v>
      </c>
      <c r="I86" s="66">
        <f>IF($C$86="yes",100,0)</f>
        <v>100</v>
      </c>
      <c r="J86" s="66">
        <f>IF($C$86="yes",125,0)</f>
        <v>125</v>
      </c>
      <c r="K86" s="66">
        <f>IF($C$86="yes",150,0)</f>
        <v>150</v>
      </c>
      <c r="L86" s="66">
        <f>IF($C$86="yes",175,0)</f>
        <v>175</v>
      </c>
      <c r="M86" s="66">
        <f>IF($C$86="yes",175,0)</f>
        <v>175</v>
      </c>
      <c r="N86" s="66">
        <f>IF($C$86="yes",200,0)</f>
        <v>200</v>
      </c>
      <c r="O86" s="66">
        <f>IF($C$86="yes",200,0)</f>
        <v>200</v>
      </c>
      <c r="P86" s="66">
        <f>IF($C$86="yes",225,0)</f>
        <v>225</v>
      </c>
      <c r="Q86" s="66">
        <f>IF($C$86="yes",225,0)</f>
        <v>225</v>
      </c>
      <c r="R86" s="66">
        <f>IF($C$86="yes",250,0)</f>
        <v>250</v>
      </c>
      <c r="S86" s="66">
        <f>IF($C$86="yes",250,0)</f>
        <v>250</v>
      </c>
      <c r="T86" s="66">
        <f>IF($C$86="yes",275,0)</f>
        <v>275</v>
      </c>
      <c r="U86" s="66">
        <f>IF($C$86="yes",275,0)</f>
        <v>275</v>
      </c>
      <c r="V86" s="66">
        <f>IF($C$86="yes",250,0)</f>
        <v>250</v>
      </c>
      <c r="W86" s="66">
        <f>IF($C$86="yes",225,0)</f>
        <v>225</v>
      </c>
      <c r="X86" s="66">
        <f>IF($C$86="yes",200,0)</f>
        <v>200</v>
      </c>
      <c r="Y86" s="66">
        <f>IF($C$86="yes",175,0)</f>
        <v>175</v>
      </c>
      <c r="Z86" s="66">
        <f>IF($C$86="yes",150,0)</f>
        <v>150</v>
      </c>
      <c r="AA86" s="66">
        <f>IF($C$86="yes",125,0)</f>
        <v>125</v>
      </c>
      <c r="AB86" s="66">
        <f t="shared" ref="AB86:AH86" si="29">IF($C$86="yes",125,0)</f>
        <v>125</v>
      </c>
      <c r="AC86" s="66">
        <f t="shared" si="29"/>
        <v>125</v>
      </c>
      <c r="AD86" s="66">
        <f t="shared" si="29"/>
        <v>125</v>
      </c>
      <c r="AE86" s="66">
        <f t="shared" si="29"/>
        <v>125</v>
      </c>
      <c r="AF86" s="66">
        <f t="shared" si="29"/>
        <v>125</v>
      </c>
      <c r="AG86" s="66">
        <f t="shared" si="29"/>
        <v>125</v>
      </c>
      <c r="AH86" s="336">
        <f t="shared" si="29"/>
        <v>125</v>
      </c>
      <c r="AI86" s="16"/>
      <c r="AJ86" s="90">
        <f>SUM(D86:AH86)</f>
        <v>4780</v>
      </c>
    </row>
    <row r="87" spans="1:37" ht="15.75" thickBot="1" x14ac:dyDescent="0.3">
      <c r="B87" s="130"/>
      <c r="C87" s="134"/>
      <c r="D87" s="196"/>
      <c r="E87" s="29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294"/>
    </row>
    <row r="88" spans="1:37" ht="14.45" customHeight="1" x14ac:dyDescent="0.3">
      <c r="B88" s="398" t="s">
        <v>71</v>
      </c>
      <c r="C88" s="398"/>
      <c r="D88" s="141">
        <f t="shared" ref="D88:AH88" si="30">D86+D84+D82+D76+D72+D63+D55</f>
        <v>1360.2050995</v>
      </c>
      <c r="E88" s="264">
        <f t="shared" si="30"/>
        <v>1466.0449848799999</v>
      </c>
      <c r="F88" s="265">
        <f t="shared" si="30"/>
        <v>1612.2594626728001</v>
      </c>
      <c r="G88" s="265">
        <f t="shared" si="30"/>
        <v>1769.5261570553703</v>
      </c>
      <c r="H88" s="265">
        <f t="shared" si="30"/>
        <v>2043.6607922064322</v>
      </c>
      <c r="I88" s="265">
        <f t="shared" si="30"/>
        <v>2204.9123155840434</v>
      </c>
      <c r="J88" s="265">
        <f t="shared" si="30"/>
        <v>2311.7170147851689</v>
      </c>
      <c r="K88" s="265">
        <f t="shared" si="30"/>
        <v>2513.1443383097567</v>
      </c>
      <c r="L88" s="265">
        <f t="shared" si="30"/>
        <v>2551.9588080926851</v>
      </c>
      <c r="M88" s="265">
        <f t="shared" si="30"/>
        <v>2524.8817381602203</v>
      </c>
      <c r="N88" s="265">
        <f t="shared" si="30"/>
        <v>2543.1259009936466</v>
      </c>
      <c r="O88" s="265">
        <f t="shared" si="30"/>
        <v>2637.4230689998085</v>
      </c>
      <c r="P88" s="265">
        <f t="shared" si="30"/>
        <v>2732.8710967383231</v>
      </c>
      <c r="Q88" s="265">
        <f t="shared" si="30"/>
        <v>2813.7803467435797</v>
      </c>
      <c r="R88" s="265">
        <f t="shared" si="30"/>
        <v>2828.6248996094719</v>
      </c>
      <c r="S88" s="265">
        <f t="shared" si="30"/>
        <v>2868.0220633239819</v>
      </c>
      <c r="T88" s="265">
        <f t="shared" si="30"/>
        <v>2911.0662267979633</v>
      </c>
      <c r="U88" s="265">
        <f t="shared" si="30"/>
        <v>2719.1723836706492</v>
      </c>
      <c r="V88" s="265">
        <f t="shared" si="30"/>
        <v>2713.0609022396361</v>
      </c>
      <c r="W88" s="265">
        <f t="shared" si="30"/>
        <v>2729.3546433566817</v>
      </c>
      <c r="X88" s="265">
        <f t="shared" si="30"/>
        <v>2743.2256156767098</v>
      </c>
      <c r="Y88" s="265">
        <f t="shared" si="30"/>
        <v>2754.8387686014266</v>
      </c>
      <c r="Z88" s="265">
        <f t="shared" si="30"/>
        <v>2724.1061793358658</v>
      </c>
      <c r="AA88" s="265">
        <f t="shared" si="30"/>
        <v>2672.7391179382839</v>
      </c>
      <c r="AB88" s="265">
        <f t="shared" si="30"/>
        <v>2646.1423379707612</v>
      </c>
      <c r="AC88" s="265">
        <f t="shared" si="30"/>
        <v>2651.776373082525</v>
      </c>
      <c r="AD88" s="265">
        <f t="shared" si="30"/>
        <v>2623.8902791371679</v>
      </c>
      <c r="AE88" s="265">
        <f t="shared" si="30"/>
        <v>2594.7040468194014</v>
      </c>
      <c r="AF88" s="265">
        <f t="shared" si="30"/>
        <v>2564.256942938925</v>
      </c>
      <c r="AG88" s="265">
        <f t="shared" si="30"/>
        <v>2532.484340502604</v>
      </c>
      <c r="AH88" s="266">
        <f t="shared" si="30"/>
        <v>2499.4152401961783</v>
      </c>
      <c r="AI88" s="16"/>
      <c r="AJ88" s="90">
        <f>SUM(D88:AH88)</f>
        <v>76862.391485920074</v>
      </c>
      <c r="AK88" s="91">
        <f>SUM(AJ42:AJ86)</f>
        <v>275962.39148592006</v>
      </c>
    </row>
    <row r="89" spans="1:37" ht="14.45" customHeight="1" x14ac:dyDescent="0.3">
      <c r="B89" s="398" t="s">
        <v>70</v>
      </c>
      <c r="C89" s="398"/>
      <c r="D89" s="146">
        <f t="shared" ref="D89:AH89" si="31">D88/D37/1000</f>
        <v>1.8455971499321575E-2</v>
      </c>
      <c r="E89" s="267">
        <f t="shared" si="31"/>
        <v>1.9695111099050203E-2</v>
      </c>
      <c r="F89" s="261">
        <f t="shared" si="31"/>
        <v>2.1444933268345606E-2</v>
      </c>
      <c r="G89" s="261">
        <f t="shared" si="31"/>
        <v>2.3303726655877991E-2</v>
      </c>
      <c r="H89" s="261">
        <f t="shared" si="31"/>
        <v>2.6647460679790534E-2</v>
      </c>
      <c r="I89" s="261">
        <f t="shared" si="31"/>
        <v>2.846537873079729E-2</v>
      </c>
      <c r="J89" s="261">
        <f t="shared" si="31"/>
        <v>2.954873811444297E-2</v>
      </c>
      <c r="K89" s="261">
        <f t="shared" si="31"/>
        <v>3.1805360901309726E-2</v>
      </c>
      <c r="L89" s="261">
        <f t="shared" si="31"/>
        <v>3.1976813347890813E-2</v>
      </c>
      <c r="M89" s="261">
        <f t="shared" si="31"/>
        <v>3.1324286630881708E-2</v>
      </c>
      <c r="N89" s="261">
        <f t="shared" si="31"/>
        <v>3.1238245621592772E-2</v>
      </c>
      <c r="O89" s="261">
        <f t="shared" si="31"/>
        <v>3.2075778152959658E-2</v>
      </c>
      <c r="P89" s="261">
        <f t="shared" si="31"/>
        <v>3.2907521540704955E-2</v>
      </c>
      <c r="Q89" s="261">
        <f t="shared" si="31"/>
        <v>3.3546316869082646E-2</v>
      </c>
      <c r="R89" s="261">
        <f t="shared" si="31"/>
        <v>3.3389401865437519E-2</v>
      </c>
      <c r="S89" s="261">
        <f t="shared" si="31"/>
        <v>3.351925777530957E-2</v>
      </c>
      <c r="T89" s="261">
        <f t="shared" si="31"/>
        <v>3.3685470473595873E-2</v>
      </c>
      <c r="U89" s="261">
        <f t="shared" si="31"/>
        <v>3.115343208886117E-2</v>
      </c>
      <c r="V89" s="261">
        <f t="shared" si="31"/>
        <v>3.0775656563462622E-2</v>
      </c>
      <c r="W89" s="261">
        <f t="shared" si="31"/>
        <v>3.0653945462793934E-2</v>
      </c>
      <c r="X89" s="261">
        <f t="shared" si="31"/>
        <v>3.0504686352991448E-2</v>
      </c>
      <c r="Y89" s="261">
        <f t="shared" si="31"/>
        <v>3.0330519492699905E-2</v>
      </c>
      <c r="Z89" s="261">
        <f t="shared" si="31"/>
        <v>2.9695204488643465E-2</v>
      </c>
      <c r="AA89" s="261">
        <f t="shared" si="31"/>
        <v>2.8846789480269096E-2</v>
      </c>
      <c r="AB89" s="261">
        <f t="shared" si="31"/>
        <v>2.8276961651663289E-2</v>
      </c>
      <c r="AC89" s="261">
        <f t="shared" si="31"/>
        <v>2.8056601541468964E-2</v>
      </c>
      <c r="AD89" s="261">
        <f t="shared" si="31"/>
        <v>2.7486691263072308E-2</v>
      </c>
      <c r="AE89" s="261">
        <f t="shared" si="31"/>
        <v>2.6911831144045842E-2</v>
      </c>
      <c r="AF89" s="261">
        <f t="shared" si="31"/>
        <v>2.633271181847581E-2</v>
      </c>
      <c r="AG89" s="261">
        <f t="shared" si="31"/>
        <v>2.5748945086396902E-2</v>
      </c>
      <c r="AH89" s="268">
        <f t="shared" si="31"/>
        <v>2.5161105125752432E-2</v>
      </c>
      <c r="AI89" s="16"/>
    </row>
    <row r="90" spans="1:37" ht="14.45" customHeight="1" x14ac:dyDescent="0.3">
      <c r="B90" s="398" t="s">
        <v>125</v>
      </c>
      <c r="C90" s="398"/>
      <c r="D90" s="87"/>
      <c r="E90" s="269" t="s">
        <v>72</v>
      </c>
      <c r="F90" s="262">
        <f t="shared" ref="F90:AH90" si="32">F89-E89</f>
        <v>1.7498221692954022E-3</v>
      </c>
      <c r="G90" s="262">
        <f t="shared" si="32"/>
        <v>1.8587933875323856E-3</v>
      </c>
      <c r="H90" s="262">
        <f t="shared" si="32"/>
        <v>3.3437340239125431E-3</v>
      </c>
      <c r="I90" s="262">
        <f t="shared" si="32"/>
        <v>1.8179180510067561E-3</v>
      </c>
      <c r="J90" s="262">
        <f t="shared" si="32"/>
        <v>1.0833593836456802E-3</v>
      </c>
      <c r="K90" s="262">
        <f t="shared" si="32"/>
        <v>2.2566227868667556E-3</v>
      </c>
      <c r="L90" s="262">
        <f t="shared" si="32"/>
        <v>1.714524465810871E-4</v>
      </c>
      <c r="M90" s="262">
        <f t="shared" si="32"/>
        <v>-6.5252671700910536E-4</v>
      </c>
      <c r="N90" s="262">
        <f t="shared" si="32"/>
        <v>-8.6041009288936182E-5</v>
      </c>
      <c r="O90" s="262">
        <f t="shared" si="32"/>
        <v>8.3753253136688646E-4</v>
      </c>
      <c r="P90" s="262">
        <f t="shared" si="32"/>
        <v>8.3174338774529705E-4</v>
      </c>
      <c r="Q90" s="262">
        <f t="shared" si="32"/>
        <v>6.3879532837769065E-4</v>
      </c>
      <c r="R90" s="262">
        <f t="shared" si="32"/>
        <v>-1.5691500364512639E-4</v>
      </c>
      <c r="S90" s="262">
        <f t="shared" si="32"/>
        <v>1.2985590987205087E-4</v>
      </c>
      <c r="T90" s="262">
        <f t="shared" si="32"/>
        <v>1.662126982863027E-4</v>
      </c>
      <c r="U90" s="262">
        <f t="shared" si="32"/>
        <v>-2.5320383847347028E-3</v>
      </c>
      <c r="V90" s="262">
        <f t="shared" si="32"/>
        <v>-3.7777552539854792E-4</v>
      </c>
      <c r="W90" s="262">
        <f t="shared" si="32"/>
        <v>-1.217111006686887E-4</v>
      </c>
      <c r="X90" s="262">
        <f t="shared" si="32"/>
        <v>-1.4925910980248536E-4</v>
      </c>
      <c r="Y90" s="262">
        <f t="shared" si="32"/>
        <v>-1.7416686029154277E-4</v>
      </c>
      <c r="Z90" s="262">
        <f t="shared" si="32"/>
        <v>-6.3531500405644009E-4</v>
      </c>
      <c r="AA90" s="262">
        <f t="shared" si="32"/>
        <v>-8.4841500837436884E-4</v>
      </c>
      <c r="AB90" s="262">
        <f t="shared" si="32"/>
        <v>-5.6982782860580741E-4</v>
      </c>
      <c r="AC90" s="262">
        <f t="shared" si="32"/>
        <v>-2.2036011019432519E-4</v>
      </c>
      <c r="AD90" s="262">
        <f t="shared" si="32"/>
        <v>-5.6991027839665628E-4</v>
      </c>
      <c r="AE90" s="262">
        <f t="shared" si="32"/>
        <v>-5.7486011902646572E-4</v>
      </c>
      <c r="AF90" s="262">
        <f t="shared" si="32"/>
        <v>-5.7911932557003221E-4</v>
      </c>
      <c r="AG90" s="262">
        <f t="shared" si="32"/>
        <v>-5.8376673207890736E-4</v>
      </c>
      <c r="AH90" s="270">
        <f t="shared" si="32"/>
        <v>-5.8783996064446994E-4</v>
      </c>
      <c r="AI90" s="16"/>
    </row>
    <row r="91" spans="1:37" ht="14.45" customHeight="1" x14ac:dyDescent="0.3">
      <c r="B91" s="398" t="s">
        <v>126</v>
      </c>
      <c r="C91" s="398"/>
      <c r="D91" s="87"/>
      <c r="E91" s="396">
        <f>AVERAGE(F90:AH90)</f>
        <v>1.8848255264490444E-4</v>
      </c>
      <c r="F91" s="397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71"/>
      <c r="AI91" s="16"/>
    </row>
    <row r="92" spans="1:37" ht="14.45" customHeight="1" x14ac:dyDescent="0.3">
      <c r="A92" t="s">
        <v>68</v>
      </c>
      <c r="B92" s="398" t="s">
        <v>69</v>
      </c>
      <c r="C92" s="398"/>
      <c r="D92" s="87"/>
      <c r="E92" s="272" t="s">
        <v>72</v>
      </c>
      <c r="F92" s="263">
        <f>F90</f>
        <v>1.7498221692954022E-3</v>
      </c>
      <c r="G92" s="263">
        <f>F92+G90</f>
        <v>3.6086155568277878E-3</v>
      </c>
      <c r="H92" s="263">
        <f t="shared" ref="H92:AH92" si="33">G92+H90</f>
        <v>6.9523495807403309E-3</v>
      </c>
      <c r="I92" s="263">
        <f t="shared" si="33"/>
        <v>8.7702676317470869E-3</v>
      </c>
      <c r="J92" s="263">
        <f t="shared" si="33"/>
        <v>9.8536270153927671E-3</v>
      </c>
      <c r="K92" s="263">
        <f t="shared" si="33"/>
        <v>1.2110249802259523E-2</v>
      </c>
      <c r="L92" s="263">
        <f t="shared" si="33"/>
        <v>1.228170224884061E-2</v>
      </c>
      <c r="M92" s="263">
        <f t="shared" si="33"/>
        <v>1.1629175531831504E-2</v>
      </c>
      <c r="N92" s="263">
        <f t="shared" si="33"/>
        <v>1.1543134522542568E-2</v>
      </c>
      <c r="O92" s="263">
        <f t="shared" si="33"/>
        <v>1.2380667053909455E-2</v>
      </c>
      <c r="P92" s="263">
        <f t="shared" si="33"/>
        <v>1.3212410441654752E-2</v>
      </c>
      <c r="Q92" s="263">
        <f t="shared" si="33"/>
        <v>1.3851205770032442E-2</v>
      </c>
      <c r="R92" s="263">
        <f t="shared" si="33"/>
        <v>1.3694290766387316E-2</v>
      </c>
      <c r="S92" s="263">
        <f t="shared" si="33"/>
        <v>1.3824146676259367E-2</v>
      </c>
      <c r="T92" s="263">
        <f t="shared" si="33"/>
        <v>1.399035937454567E-2</v>
      </c>
      <c r="U92" s="263">
        <f t="shared" si="33"/>
        <v>1.1458320989810967E-2</v>
      </c>
      <c r="V92" s="263">
        <f t="shared" si="33"/>
        <v>1.1080545464412419E-2</v>
      </c>
      <c r="W92" s="263">
        <f t="shared" si="33"/>
        <v>1.095883436374373E-2</v>
      </c>
      <c r="X92" s="263">
        <f t="shared" si="33"/>
        <v>1.0809575253941245E-2</v>
      </c>
      <c r="Y92" s="263">
        <f t="shared" si="33"/>
        <v>1.0635408393649702E-2</v>
      </c>
      <c r="Z92" s="263">
        <f t="shared" si="33"/>
        <v>1.0000093389593262E-2</v>
      </c>
      <c r="AA92" s="263">
        <f t="shared" si="33"/>
        <v>9.1516783812188932E-3</v>
      </c>
      <c r="AB92" s="263">
        <f t="shared" si="33"/>
        <v>8.5818505526130857E-3</v>
      </c>
      <c r="AC92" s="263">
        <f t="shared" si="33"/>
        <v>8.3614904424187605E-3</v>
      </c>
      <c r="AD92" s="263">
        <f t="shared" si="33"/>
        <v>7.7915801640221043E-3</v>
      </c>
      <c r="AE92" s="263">
        <f t="shared" si="33"/>
        <v>7.2167200449956385E-3</v>
      </c>
      <c r="AF92" s="263">
        <f t="shared" si="33"/>
        <v>6.6376007194256063E-3</v>
      </c>
      <c r="AG92" s="263">
        <f t="shared" si="33"/>
        <v>6.053833987346699E-3</v>
      </c>
      <c r="AH92" s="271">
        <f t="shared" si="33"/>
        <v>5.465994026702229E-3</v>
      </c>
      <c r="AI92" s="16"/>
    </row>
    <row r="93" spans="1:37" ht="14.45" customHeight="1" thickBot="1" x14ac:dyDescent="0.35">
      <c r="B93" s="70"/>
      <c r="C93" s="147"/>
      <c r="D93" s="147"/>
      <c r="E93" s="273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5"/>
      <c r="AI93" s="16"/>
    </row>
    <row r="94" spans="1:37" ht="18.600000000000001" customHeight="1" x14ac:dyDescent="0.35">
      <c r="B94" s="140" t="s">
        <v>56</v>
      </c>
      <c r="C94" s="131"/>
      <c r="D94" s="165"/>
      <c r="E94" s="165"/>
      <c r="F94" s="96"/>
      <c r="G94" s="31"/>
      <c r="AH94" s="5"/>
      <c r="AI94" s="16"/>
    </row>
    <row r="95" spans="1:37" ht="14.45" customHeight="1" thickBot="1" x14ac:dyDescent="0.3">
      <c r="B95" s="132"/>
      <c r="C95" s="133"/>
      <c r="D95" s="165"/>
      <c r="E95" s="165"/>
      <c r="F95" s="31"/>
      <c r="G95" s="31"/>
      <c r="AH95" s="5"/>
      <c r="AI95" s="16"/>
    </row>
    <row r="96" spans="1:37" ht="16.149999999999999" customHeight="1" thickBot="1" x14ac:dyDescent="0.35">
      <c r="B96" s="253" t="s">
        <v>122</v>
      </c>
      <c r="C96" s="121" t="s">
        <v>58</v>
      </c>
      <c r="D96" s="168"/>
      <c r="E96" s="44">
        <v>2021</v>
      </c>
      <c r="F96" s="42">
        <f t="shared" ref="F96" si="34">1+E96</f>
        <v>2022</v>
      </c>
      <c r="G96" s="42">
        <f t="shared" ref="G96" si="35">1+F96</f>
        <v>2023</v>
      </c>
      <c r="H96" s="42">
        <f t="shared" ref="H96" si="36">1+G96</f>
        <v>2024</v>
      </c>
      <c r="I96" s="42">
        <f t="shared" ref="I96" si="37">1+H96</f>
        <v>2025</v>
      </c>
      <c r="J96" s="42">
        <f t="shared" ref="J96" si="38">1+I96</f>
        <v>2026</v>
      </c>
      <c r="K96" s="42">
        <f t="shared" ref="K96" si="39">1+J96</f>
        <v>2027</v>
      </c>
      <c r="L96" s="42">
        <f t="shared" ref="L96" si="40">1+K96</f>
        <v>2028</v>
      </c>
      <c r="M96" s="42">
        <f t="shared" ref="M96" si="41">1+L96</f>
        <v>2029</v>
      </c>
      <c r="N96" s="42">
        <f t="shared" ref="N96" si="42">1+M96</f>
        <v>2030</v>
      </c>
      <c r="O96" s="42">
        <f t="shared" ref="O96" si="43">1+N96</f>
        <v>2031</v>
      </c>
      <c r="P96" s="42">
        <f t="shared" ref="P96" si="44">1+O96</f>
        <v>2032</v>
      </c>
      <c r="Q96" s="42">
        <f t="shared" ref="Q96" si="45">1+P96</f>
        <v>2033</v>
      </c>
      <c r="R96" s="42">
        <f t="shared" ref="R96" si="46">1+Q96</f>
        <v>2034</v>
      </c>
      <c r="S96" s="42">
        <f t="shared" ref="S96" si="47">1+R96</f>
        <v>2035</v>
      </c>
      <c r="T96" s="42">
        <f t="shared" ref="T96" si="48">1+S96</f>
        <v>2036</v>
      </c>
      <c r="U96" s="42">
        <f t="shared" ref="U96" si="49">1+T96</f>
        <v>2037</v>
      </c>
      <c r="V96" s="42">
        <f t="shared" ref="V96" si="50">1+U96</f>
        <v>2038</v>
      </c>
      <c r="W96" s="42">
        <f t="shared" ref="W96" si="51">1+V96</f>
        <v>2039</v>
      </c>
      <c r="X96" s="42">
        <f t="shared" ref="X96" si="52">1+W96</f>
        <v>2040</v>
      </c>
      <c r="Y96" s="42">
        <f t="shared" ref="Y96" si="53">1+X96</f>
        <v>2041</v>
      </c>
      <c r="Z96" s="42">
        <f t="shared" ref="Z96" si="54">1+Y96</f>
        <v>2042</v>
      </c>
      <c r="AA96" s="42">
        <f t="shared" ref="AA96" si="55">1+Z96</f>
        <v>2043</v>
      </c>
      <c r="AB96" s="42">
        <f t="shared" ref="AB96" si="56">1+AA96</f>
        <v>2044</v>
      </c>
      <c r="AC96" s="42">
        <f t="shared" ref="AC96" si="57">1+AB96</f>
        <v>2045</v>
      </c>
      <c r="AD96" s="42">
        <f t="shared" ref="AD96" si="58">1+AC96</f>
        <v>2046</v>
      </c>
      <c r="AE96" s="42">
        <f t="shared" ref="AE96" si="59">1+AD96</f>
        <v>2047</v>
      </c>
      <c r="AF96" s="42">
        <f t="shared" ref="AF96" si="60">1+AE96</f>
        <v>2048</v>
      </c>
      <c r="AG96" s="45">
        <f t="shared" ref="AG96" si="61">1+AF96</f>
        <v>2049</v>
      </c>
      <c r="AH96" s="45">
        <f t="shared" ref="AH96" si="62">1+AG96</f>
        <v>2050</v>
      </c>
      <c r="AI96" s="16"/>
    </row>
    <row r="97" spans="2:35" ht="14.45" customHeight="1" x14ac:dyDescent="0.3">
      <c r="B97" s="256" t="s">
        <v>25</v>
      </c>
      <c r="C97" s="103"/>
      <c r="D97" s="357"/>
      <c r="E97" s="2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243"/>
      <c r="AI97" s="16"/>
    </row>
    <row r="98" spans="2:35" ht="19.149999999999999" customHeight="1" x14ac:dyDescent="0.3">
      <c r="B98" s="257" t="s">
        <v>155</v>
      </c>
      <c r="C98" s="162" t="s">
        <v>60</v>
      </c>
      <c r="D98" s="85"/>
      <c r="E98" s="360" t="s">
        <v>72</v>
      </c>
      <c r="F98" s="158">
        <f>IF($C$98="yes",0.39/10*0.04,0)</f>
        <v>1.56E-3</v>
      </c>
      <c r="G98" s="158">
        <f t="shared" ref="G98:N98" si="63">IF($C$98="yes",0.39/10*0.7*0.04,0)</f>
        <v>1.0919999999999999E-3</v>
      </c>
      <c r="H98" s="158">
        <f t="shared" si="63"/>
        <v>1.0919999999999999E-3</v>
      </c>
      <c r="I98" s="158">
        <f t="shared" si="63"/>
        <v>1.0919999999999999E-3</v>
      </c>
      <c r="J98" s="158">
        <f t="shared" si="63"/>
        <v>1.0919999999999999E-3</v>
      </c>
      <c r="K98" s="158">
        <f t="shared" si="63"/>
        <v>1.0919999999999999E-3</v>
      </c>
      <c r="L98" s="158">
        <f t="shared" si="63"/>
        <v>1.0919999999999999E-3</v>
      </c>
      <c r="M98" s="158">
        <f t="shared" si="63"/>
        <v>1.0919999999999999E-3</v>
      </c>
      <c r="N98" s="158">
        <f t="shared" si="63"/>
        <v>1.0919999999999999E-3</v>
      </c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244"/>
      <c r="AI98" s="16"/>
    </row>
    <row r="99" spans="2:35" ht="14.45" customHeight="1" x14ac:dyDescent="0.35">
      <c r="B99" s="258" t="s">
        <v>75</v>
      </c>
      <c r="C99" s="162" t="s">
        <v>60</v>
      </c>
      <c r="D99" s="169"/>
      <c r="E99" s="361" t="s">
        <v>72</v>
      </c>
      <c r="F99" s="160">
        <f t="shared" ref="F99:H99" si="64">IF($C99="yes",(F54-E54)*$C26/F$37/1000000000,0)</f>
        <v>3.6629881526979301E-4</v>
      </c>
      <c r="G99" s="160">
        <f t="shared" si="64"/>
        <v>4.6236715285439281E-4</v>
      </c>
      <c r="H99" s="160">
        <f t="shared" si="64"/>
        <v>4.8002559906852263E-4</v>
      </c>
      <c r="I99" s="160">
        <f>IF($C99="yes",(I54-H54)*$D26/I$37/1000000000,0)</f>
        <v>5.4651256666629091E-4</v>
      </c>
      <c r="J99" s="160">
        <f>IF($C99="yes",(J54-I54)*$D26/J$37/1000000000,0)</f>
        <v>5.7097096752899634E-4</v>
      </c>
      <c r="K99" s="160">
        <f t="shared" ref="K99:M99" si="65">IF($C99="yes",(K54-J54)*$D26/K$37/1000000000,0)</f>
        <v>5.9753114458140414E-4</v>
      </c>
      <c r="L99" s="160">
        <f t="shared" si="65"/>
        <v>6.2747782301308638E-4</v>
      </c>
      <c r="M99" s="160">
        <f t="shared" si="65"/>
        <v>6.6001042514372116E-4</v>
      </c>
      <c r="N99" s="160">
        <f>IF($C99="yes",(N54-M54)*$E26/N$37/1000000000,0)</f>
        <v>7.4527306028305108E-4</v>
      </c>
      <c r="O99" s="160">
        <f t="shared" ref="O99:R99" si="66">IF($C99="yes",(O54-N54)*$E26/O$37/1000000000,0)</f>
        <v>7.3494254261575998E-4</v>
      </c>
      <c r="P99" s="160">
        <f t="shared" si="66"/>
        <v>7.247552202428681E-4</v>
      </c>
      <c r="Q99" s="160">
        <f t="shared" si="66"/>
        <v>7.1470910827910693E-4</v>
      </c>
      <c r="R99" s="160">
        <f t="shared" si="66"/>
        <v>7.0480224935246612E-4</v>
      </c>
      <c r="S99" s="160">
        <f>IF($C99="yes",(S54-R54)*$F26/S$37/1000000000,0)</f>
        <v>6.8034895455730137E-4</v>
      </c>
      <c r="T99" s="160">
        <f t="shared" ref="T99:W99" si="67">IF($C99="yes",(T54-S54)*$F26/T$37/1000000000,0)</f>
        <v>5.754498588296991E-4</v>
      </c>
      <c r="U99" s="160">
        <f t="shared" si="67"/>
        <v>7.2997940816914991E-4</v>
      </c>
      <c r="V99" s="160">
        <f t="shared" si="67"/>
        <v>7.198608817192818E-4</v>
      </c>
      <c r="W99" s="160">
        <f t="shared" si="67"/>
        <v>7.0988261207168728E-4</v>
      </c>
      <c r="X99" s="160">
        <f>IF($C99="yes",(X54-W54)*$G26/X$37/1000000000,0)</f>
        <v>7.5108743200505488E-4</v>
      </c>
      <c r="Y99" s="160">
        <f t="shared" ref="Y99:AB99" si="68">IF($C99="yes",(Y54-X54)*$G26/Y$37/1000000000,0)</f>
        <v>7.4067631908617253E-4</v>
      </c>
      <c r="Z99" s="160">
        <f t="shared" si="68"/>
        <v>7.3040951862359557E-4</v>
      </c>
      <c r="AA99" s="160">
        <f t="shared" si="68"/>
        <v>7.2028503024662788E-4</v>
      </c>
      <c r="AB99" s="160">
        <f t="shared" si="68"/>
        <v>7.1030088131252044E-4</v>
      </c>
      <c r="AC99" s="160">
        <f>IF($C99="yes",(AC54-AB54)*$H26/AC$37/1000000000,0)</f>
        <v>7.480588729847148E-4</v>
      </c>
      <c r="AD99" s="160">
        <f t="shared" ref="AD99:AG99" si="69">IF($C99="yes",(AD54-AC54)*$H26/AD$37/1000000000,0)</f>
        <v>7.376897400918573E-4</v>
      </c>
      <c r="AE99" s="160">
        <f t="shared" si="69"/>
        <v>7.2746433775394876E-4</v>
      </c>
      <c r="AF99" s="160">
        <f t="shared" si="69"/>
        <v>7.1738067366627022E-4</v>
      </c>
      <c r="AG99" s="160">
        <f t="shared" si="69"/>
        <v>7.0743678314020154E-4</v>
      </c>
      <c r="AH99" s="246">
        <f>IF($C99="yes",(AH54-AG54)*$I26/AH$37/1000000000,0)</f>
        <v>7.3568331392337666E-4</v>
      </c>
      <c r="AI99" s="16"/>
    </row>
    <row r="100" spans="2:35" ht="14.45" customHeight="1" x14ac:dyDescent="0.3">
      <c r="B100" s="258" t="s">
        <v>92</v>
      </c>
      <c r="C100" s="162" t="s">
        <v>60</v>
      </c>
      <c r="D100" s="169"/>
      <c r="E100" s="361" t="s">
        <v>72</v>
      </c>
      <c r="F100" s="160">
        <f t="shared" ref="F100:H100" si="70">IF($C100="yes",(F54-E54)*$C28/F$37/1000000000,0)</f>
        <v>2.078179473283182E-4</v>
      </c>
      <c r="G100" s="160">
        <f t="shared" si="70"/>
        <v>2.6232187660084588E-4</v>
      </c>
      <c r="H100" s="160">
        <f t="shared" si="70"/>
        <v>2.7234031480552598E-4</v>
      </c>
      <c r="I100" s="160">
        <f>IF($C100="yes",(I54-H54)*$D28/I$37/1000000000,0)</f>
        <v>3.1230279757204875E-4</v>
      </c>
      <c r="J100" s="160">
        <f t="shared" ref="J100:M100" si="71">IF($C100="yes",(J54-I54)*$D28/J$37/1000000000,0)</f>
        <v>3.2627946980148294E-4</v>
      </c>
      <c r="K100" s="160">
        <f t="shared" si="71"/>
        <v>3.4145719507882476E-4</v>
      </c>
      <c r="L100" s="160">
        <f t="shared" si="71"/>
        <v>3.5857012536193687E-4</v>
      </c>
      <c r="M100" s="160">
        <f t="shared" si="71"/>
        <v>3.7716077318486154E-4</v>
      </c>
      <c r="N100" s="160">
        <f>IF($C100="yes",(N54-M54)*$E28/N$37/1000000000,0)</f>
        <v>4.5133244868103062E-4</v>
      </c>
      <c r="O100" s="160">
        <f t="shared" ref="O100:R100" si="72">IF($C100="yes",(O54-N54)*$E28/O$37/1000000000,0)</f>
        <v>4.4507635533297586E-4</v>
      </c>
      <c r="P100" s="160">
        <f t="shared" si="72"/>
        <v>4.3890698011053839E-4</v>
      </c>
      <c r="Q100" s="160">
        <f t="shared" si="72"/>
        <v>4.3282312098029418E-4</v>
      </c>
      <c r="R100" s="160">
        <f t="shared" si="72"/>
        <v>4.2682359257066653E-4</v>
      </c>
      <c r="S100" s="160">
        <f>IF($C100="yes",(S54-R54)*$F28/S$37/1000000000,0)</f>
        <v>4.2780874070798698E-4</v>
      </c>
      <c r="T100" s="160">
        <f t="shared" ref="T100:W100" si="73">IF($C100="yes",(T54-S54)*$F28/T$37/1000000000,0)</f>
        <v>3.618473693499123E-4</v>
      </c>
      <c r="U100" s="160">
        <f t="shared" si="73"/>
        <v>4.5901675788538799E-4</v>
      </c>
      <c r="V100" s="160">
        <f t="shared" si="73"/>
        <v>4.5265414936024485E-4</v>
      </c>
      <c r="W100" s="160">
        <f t="shared" si="73"/>
        <v>4.4637973540871635E-4</v>
      </c>
      <c r="X100" s="160">
        <f>IF($C100="yes",(X54-W54)*$G28/X$37/1000000000,0)</f>
        <v>4.873557535530235E-4</v>
      </c>
      <c r="Y100" s="160">
        <f t="shared" ref="Y100:AB100" si="74">IF($C100="yes",(Y54-X54)*$G28/Y$37/1000000000,0)</f>
        <v>4.8060032726614948E-4</v>
      </c>
      <c r="Z100" s="160">
        <f t="shared" si="74"/>
        <v>4.7393854055157169E-4</v>
      </c>
      <c r="AA100" s="160">
        <f t="shared" si="74"/>
        <v>4.6736909543501067E-4</v>
      </c>
      <c r="AB100" s="160">
        <f t="shared" si="74"/>
        <v>4.6089071193393416E-4</v>
      </c>
      <c r="AC100" s="160">
        <f>IF($C100="yes",(AC54-AB54)*$H28/AC$37/1000000000,0)</f>
        <v>5.131475636543267E-4</v>
      </c>
      <c r="AD100" s="160">
        <f t="shared" ref="AD100:AG100" si="75">IF($C100="yes",(AD54-AC54)*$H28/AD$37/1000000000,0)</f>
        <v>5.0603462712842508E-4</v>
      </c>
      <c r="AE100" s="160">
        <f t="shared" si="75"/>
        <v>4.9902028576228729E-4</v>
      </c>
      <c r="AF100" s="160">
        <f t="shared" si="75"/>
        <v>4.9210317289033489E-4</v>
      </c>
      <c r="AG100" s="160">
        <f t="shared" si="75"/>
        <v>4.8528194079086389E-4</v>
      </c>
      <c r="AH100" s="246">
        <f>IF($C100="yes",(AH54-AG54)*$I28/AH$37/1000000000,0)</f>
        <v>5.1957428274548227E-4</v>
      </c>
      <c r="AI100" s="16"/>
    </row>
    <row r="101" spans="2:35" ht="14.45" customHeight="1" x14ac:dyDescent="0.3">
      <c r="B101" s="258" t="s">
        <v>57</v>
      </c>
      <c r="C101" s="162" t="s">
        <v>60</v>
      </c>
      <c r="D101" s="169"/>
      <c r="E101" s="361" t="s">
        <v>72</v>
      </c>
      <c r="F101" s="160">
        <f t="shared" ref="F101:I101" si="76">IF($C101="yes",(F54-E54)*$C29/F$37/1000000000,0)</f>
        <v>3.6125881425145558E-4</v>
      </c>
      <c r="G101" s="160">
        <f t="shared" si="76"/>
        <v>4.560053225014459E-4</v>
      </c>
      <c r="H101" s="160">
        <f t="shared" si="76"/>
        <v>4.734208015445355E-4</v>
      </c>
      <c r="I101" s="160">
        <f t="shared" si="76"/>
        <v>4.9353572021140323E-4</v>
      </c>
      <c r="J101" s="160">
        <f t="shared" ref="J101:AH101" si="77">IF($C101="yes",(J54-I54)*$C29/J$37/1000000000,0)</f>
        <v>5.1562321686061637E-4</v>
      </c>
      <c r="K101" s="160">
        <f t="shared" si="77"/>
        <v>5.3960875152171911E-4</v>
      </c>
      <c r="L101" s="160">
        <f t="shared" si="77"/>
        <v>5.6665251301813932E-4</v>
      </c>
      <c r="M101" s="160">
        <f t="shared" si="77"/>
        <v>5.9603152862035117E-4</v>
      </c>
      <c r="N101" s="160">
        <f t="shared" si="77"/>
        <v>6.2765637844021719E-4</v>
      </c>
      <c r="O101" s="160">
        <f t="shared" si="77"/>
        <v>6.1895619101629234E-4</v>
      </c>
      <c r="P101" s="160">
        <f t="shared" si="77"/>
        <v>6.1037660024972963E-4</v>
      </c>
      <c r="Q101" s="160">
        <f t="shared" si="77"/>
        <v>6.0191593450369487E-4</v>
      </c>
      <c r="R101" s="160">
        <f t="shared" si="77"/>
        <v>5.9357254531255477E-4</v>
      </c>
      <c r="S101" s="160">
        <f t="shared" si="77"/>
        <v>5.3119871908990988E-4</v>
      </c>
      <c r="T101" s="160">
        <f t="shared" si="77"/>
        <v>4.4929624108808777E-4</v>
      </c>
      <c r="U101" s="160">
        <f t="shared" si="77"/>
        <v>5.699488828255475E-4</v>
      </c>
      <c r="V101" s="160">
        <f t="shared" si="77"/>
        <v>5.6204860128143187E-4</v>
      </c>
      <c r="W101" s="160">
        <f t="shared" si="77"/>
        <v>5.5425782859040164E-4</v>
      </c>
      <c r="X101" s="160">
        <f t="shared" si="77"/>
        <v>5.4657504680795952E-4</v>
      </c>
      <c r="Y101" s="160">
        <f t="shared" si="77"/>
        <v>5.389987590304231E-4</v>
      </c>
      <c r="Z101" s="160">
        <f t="shared" si="77"/>
        <v>5.3152748910327151E-4</v>
      </c>
      <c r="AA101" s="160">
        <f t="shared" si="77"/>
        <v>5.2415978133351813E-4</v>
      </c>
      <c r="AB101" s="160">
        <f t="shared" si="77"/>
        <v>5.1689420020612593E-4</v>
      </c>
      <c r="AC101" s="160">
        <f t="shared" si="77"/>
        <v>5.0972933010425968E-4</v>
      </c>
      <c r="AD101" s="160">
        <f t="shared" si="77"/>
        <v>5.0266377503350751E-4</v>
      </c>
      <c r="AE101" s="160">
        <f t="shared" si="77"/>
        <v>4.9569615834987358E-4</v>
      </c>
      <c r="AF101" s="160">
        <f t="shared" si="77"/>
        <v>4.8882512249155859E-4</v>
      </c>
      <c r="AG101" s="160">
        <f t="shared" si="77"/>
        <v>4.8204932871444685E-4</v>
      </c>
      <c r="AH101" s="246">
        <f t="shared" si="77"/>
        <v>4.7536745683128095E-4</v>
      </c>
      <c r="AI101" s="16"/>
    </row>
    <row r="102" spans="2:35" ht="14.45" customHeight="1" x14ac:dyDescent="0.3">
      <c r="B102" s="258" t="s">
        <v>151</v>
      </c>
      <c r="C102" s="162" t="s">
        <v>60</v>
      </c>
      <c r="D102" s="169"/>
      <c r="E102" s="361" t="s">
        <v>72</v>
      </c>
      <c r="F102" s="161">
        <f t="shared" ref="F102:AH102" si="78">IF($C$102="yes",(F54-E54)*44.67/F37/1000000000,0)</f>
        <v>3.9359588372225662E-4</v>
      </c>
      <c r="G102" s="161">
        <f t="shared" si="78"/>
        <v>4.968233599058436E-4</v>
      </c>
      <c r="H102" s="161">
        <f t="shared" si="78"/>
        <v>5.1579773670718042E-4</v>
      </c>
      <c r="I102" s="161">
        <f t="shared" si="78"/>
        <v>5.3771318589861908E-4</v>
      </c>
      <c r="J102" s="161">
        <f t="shared" si="78"/>
        <v>5.6177778285765193E-4</v>
      </c>
      <c r="K102" s="161">
        <f t="shared" si="78"/>
        <v>5.8791031537744375E-4</v>
      </c>
      <c r="L102" s="161">
        <f t="shared" si="78"/>
        <v>6.1737482332976294E-4</v>
      </c>
      <c r="M102" s="161">
        <f t="shared" si="78"/>
        <v>6.4938361910905093E-4</v>
      </c>
      <c r="N102" s="161">
        <f t="shared" si="78"/>
        <v>6.8383927865669526E-4</v>
      </c>
      <c r="O102" s="161">
        <f t="shared" si="78"/>
        <v>6.7436031835848241E-4</v>
      </c>
      <c r="P102" s="161">
        <f t="shared" si="78"/>
        <v>6.6501274958915657E-4</v>
      </c>
      <c r="Q102" s="161">
        <f t="shared" si="78"/>
        <v>6.5579475108000127E-4</v>
      </c>
      <c r="R102" s="161">
        <f t="shared" si="78"/>
        <v>6.4670452680760536E-4</v>
      </c>
      <c r="S102" s="161">
        <f t="shared" si="78"/>
        <v>5.7874748248161652E-4</v>
      </c>
      <c r="T102" s="161">
        <f t="shared" si="78"/>
        <v>4.8951373388792397E-4</v>
      </c>
      <c r="U102" s="161">
        <f t="shared" si="78"/>
        <v>6.2096625843456599E-4</v>
      </c>
      <c r="V102" s="161">
        <f t="shared" si="78"/>
        <v>6.1235880534735523E-4</v>
      </c>
      <c r="W102" s="161">
        <f t="shared" si="78"/>
        <v>6.038706634910548E-4</v>
      </c>
      <c r="X102" s="161">
        <f t="shared" si="78"/>
        <v>5.9550017904662345E-4</v>
      </c>
      <c r="Y102" s="161">
        <f t="shared" si="78"/>
        <v>5.8724572111924387E-4</v>
      </c>
      <c r="Z102" s="161">
        <f t="shared" si="78"/>
        <v>5.791056814205644E-4</v>
      </c>
      <c r="AA102" s="161">
        <f t="shared" si="78"/>
        <v>5.7107847395532338E-4</v>
      </c>
      <c r="AB102" s="161">
        <f t="shared" si="78"/>
        <v>5.6316253471238155E-4</v>
      </c>
      <c r="AC102" s="161">
        <f t="shared" si="78"/>
        <v>5.5535632135993369E-4</v>
      </c>
      <c r="AD102" s="161">
        <f t="shared" si="78"/>
        <v>5.4765831294504349E-4</v>
      </c>
      <c r="AE102" s="161">
        <f t="shared" si="78"/>
        <v>5.400670095972892E-4</v>
      </c>
      <c r="AF102" s="161">
        <f t="shared" si="78"/>
        <v>5.3258093223653466E-4</v>
      </c>
      <c r="AG102" s="161">
        <f t="shared" si="78"/>
        <v>5.2519862228474006E-4</v>
      </c>
      <c r="AH102" s="248">
        <f t="shared" si="78"/>
        <v>5.1791864138178831E-4</v>
      </c>
      <c r="AI102" s="16"/>
    </row>
    <row r="103" spans="2:35" ht="14.45" customHeight="1" x14ac:dyDescent="0.3">
      <c r="B103" s="64" t="s">
        <v>128</v>
      </c>
      <c r="C103" s="162" t="s">
        <v>127</v>
      </c>
      <c r="D103" s="169"/>
      <c r="E103" s="247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248"/>
      <c r="AI103" s="16"/>
    </row>
    <row r="104" spans="2:35" ht="14.45" customHeight="1" x14ac:dyDescent="0.3">
      <c r="B104" s="259"/>
      <c r="C104" s="120"/>
      <c r="D104" s="358"/>
      <c r="E104" s="249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250"/>
      <c r="AI104" s="16"/>
    </row>
    <row r="105" spans="2:35" ht="14.45" customHeight="1" x14ac:dyDescent="0.3">
      <c r="B105" s="260"/>
      <c r="C105" s="119"/>
      <c r="D105" s="358"/>
      <c r="E105" s="249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250"/>
      <c r="AI105" s="16"/>
    </row>
    <row r="106" spans="2:35" ht="14.45" customHeight="1" x14ac:dyDescent="0.3">
      <c r="B106" s="260" t="s">
        <v>59</v>
      </c>
      <c r="C106" s="119"/>
      <c r="D106" s="358"/>
      <c r="E106" s="249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250"/>
      <c r="AI106" s="16"/>
    </row>
    <row r="107" spans="2:35" ht="16.899999999999999" customHeight="1" x14ac:dyDescent="0.3">
      <c r="B107" s="257" t="s">
        <v>155</v>
      </c>
      <c r="C107" s="162" t="s">
        <v>60</v>
      </c>
      <c r="D107" s="169"/>
      <c r="E107" s="360" t="s">
        <v>72</v>
      </c>
      <c r="F107" s="158">
        <v>0</v>
      </c>
      <c r="G107" s="158">
        <v>0</v>
      </c>
      <c r="H107" s="158">
        <f t="shared" ref="H107:N107" si="79">IF($C$107="yes",0.39/10*0.3*0.04,0)</f>
        <v>4.6800000000000005E-4</v>
      </c>
      <c r="I107" s="158">
        <f t="shared" si="79"/>
        <v>4.6800000000000005E-4</v>
      </c>
      <c r="J107" s="158">
        <f t="shared" si="79"/>
        <v>4.6800000000000005E-4</v>
      </c>
      <c r="K107" s="158">
        <f t="shared" si="79"/>
        <v>4.6800000000000005E-4</v>
      </c>
      <c r="L107" s="158">
        <f t="shared" si="79"/>
        <v>4.6800000000000005E-4</v>
      </c>
      <c r="M107" s="158">
        <f t="shared" si="79"/>
        <v>4.6800000000000005E-4</v>
      </c>
      <c r="N107" s="158">
        <f t="shared" si="79"/>
        <v>4.6800000000000005E-4</v>
      </c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248"/>
      <c r="AI107" s="16"/>
    </row>
    <row r="108" spans="2:35" ht="14.45" customHeight="1" x14ac:dyDescent="0.35">
      <c r="B108" s="258" t="s">
        <v>75</v>
      </c>
      <c r="C108" s="162" t="s">
        <v>60</v>
      </c>
      <c r="D108" s="169"/>
      <c r="E108" s="361" t="s">
        <v>72</v>
      </c>
      <c r="F108" s="160">
        <f t="shared" ref="F108:H108" si="80">IF($C108="yes",(F$60-E$60)*$C26/F$37/1000000000,0)</f>
        <v>0</v>
      </c>
      <c r="G108" s="160">
        <f t="shared" si="80"/>
        <v>0</v>
      </c>
      <c r="H108" s="160">
        <f t="shared" si="80"/>
        <v>1.7759210051506388E-3</v>
      </c>
      <c r="I108" s="160">
        <f>IF($C108="yes",(I$60-H$60)*$D26/I$37/1000000000,0)</f>
        <v>6.9828719232319352E-4</v>
      </c>
      <c r="J108" s="160">
        <f>IF($C108="yes",(J$60-I$60)*$D26/J$37/1000000000,0)</f>
        <v>6.9137345774573662E-4</v>
      </c>
      <c r="K108" s="160">
        <f t="shared" ref="K108:M108" si="81">IF($C108="yes",(K$60-J$60)*$D26/K$37/1000000000,0)</f>
        <v>1.369056351971756E-3</v>
      </c>
      <c r="L108" s="160">
        <f t="shared" si="81"/>
        <v>6.7775066929294764E-4</v>
      </c>
      <c r="M108" s="160">
        <f t="shared" si="81"/>
        <v>1.3420805332533627E-3</v>
      </c>
      <c r="N108" s="160">
        <f>IF($C108="yes",(N$60-M$60)*$E26/N$37/1000000000,0)</f>
        <v>7.1242495204311873E-4</v>
      </c>
      <c r="O108" s="160">
        <f>IF($C108="yes",(O$60-N$60)*$E26/O$37/1000000000,0)</f>
        <v>1.4107424792933053E-3</v>
      </c>
      <c r="P108" s="160">
        <f t="shared" ref="P108:R108" si="82">IF($C108="yes",(P$60-O$60)*$E26/P$37/1000000000,0)</f>
        <v>8.7298420748348031E-4</v>
      </c>
      <c r="Q108" s="160">
        <f t="shared" si="82"/>
        <v>1.555813439079469E-3</v>
      </c>
      <c r="R108" s="160">
        <f t="shared" si="82"/>
        <v>8.5578296979068756E-4</v>
      </c>
      <c r="S108" s="160">
        <f>IF($C108="yes",(S$60-R$60)*$F26/S$37/1000000000,0)</f>
        <v>9.1395222049066641E-4</v>
      </c>
      <c r="T108" s="160">
        <f>IF($C108="yes",(T$60-S$60)*$F26/T$37/1000000000,0)</f>
        <v>5.4294191316277209E-4</v>
      </c>
      <c r="U108" s="160">
        <f t="shared" ref="U108:W108" si="83">IF($C108="yes",(U$60-T$60)*$F26/U$37/1000000000,0)</f>
        <v>5.3756625065621004E-4</v>
      </c>
      <c r="V108" s="160">
        <f t="shared" si="83"/>
        <v>5.3224381253090091E-4</v>
      </c>
      <c r="W108" s="160">
        <f t="shared" si="83"/>
        <v>5.2697407181277322E-4</v>
      </c>
      <c r="X108" s="160">
        <f>IF($C108="yes",(X$60-W$60)*$G26/X$37/1000000000,0)</f>
        <v>5.5980125202883526E-4</v>
      </c>
      <c r="Y108" s="160">
        <f>IF($C108="yes",(Y$60-X$60)*$G26/Y$37/1000000000,0)</f>
        <v>5.5425866537508204E-4</v>
      </c>
      <c r="Z108" s="160">
        <f t="shared" ref="Z108:AB108" si="84">IF($C108="yes",(Z$60-Y$60)*$G26/Z$37/1000000000,0)</f>
        <v>5.4877095581691289E-4</v>
      </c>
      <c r="AA108" s="160">
        <f t="shared" si="84"/>
        <v>5.4333758001674554E-4</v>
      </c>
      <c r="AB108" s="160">
        <f t="shared" si="84"/>
        <v>5.3795800001657978E-4</v>
      </c>
      <c r="AC108" s="160">
        <f>IF($C108="yes",(AC$60-AB$60)*$H26/AC$37/1000000000,0)</f>
        <v>5.688299529157337E-4</v>
      </c>
      <c r="AD108" s="160">
        <f>IF($C108="yes",(AD$60-AC$60)*$H26/AD$37/1000000000,0)</f>
        <v>5.6319797318389478E-4</v>
      </c>
      <c r="AE108" s="160">
        <f t="shared" ref="AE108:AG108" si="85">IF($C108="yes",(AE$60-AD$60)*$H26/AE$37/1000000000,0)</f>
        <v>5.5762175562761853E-4</v>
      </c>
      <c r="AF108" s="160">
        <f t="shared" si="85"/>
        <v>5.5210074814615465E-4</v>
      </c>
      <c r="AG108" s="160">
        <f t="shared" si="85"/>
        <v>5.4663440410510588E-4</v>
      </c>
      <c r="AH108" s="246">
        <f>IF($C108="yes",(AH$60-AG$60)*$I26/AH$37/1000000000,0)</f>
        <v>5.7074339222495311E-4</v>
      </c>
      <c r="AI108" s="16"/>
    </row>
    <row r="109" spans="2:35" ht="14.45" customHeight="1" x14ac:dyDescent="0.3">
      <c r="B109" s="258" t="s">
        <v>92</v>
      </c>
      <c r="C109" s="162" t="s">
        <v>60</v>
      </c>
      <c r="D109" s="169"/>
      <c r="E109" s="361" t="s">
        <v>72</v>
      </c>
      <c r="F109" s="160">
        <f t="shared" ref="F109:H109" si="86">IF($C109="yes",(F$60-E$60)*$C28/F$37/1000000000,0)</f>
        <v>0</v>
      </c>
      <c r="G109" s="160">
        <f t="shared" si="86"/>
        <v>0</v>
      </c>
      <c r="H109" s="160">
        <f t="shared" si="86"/>
        <v>1.0075606104153424E-3</v>
      </c>
      <c r="I109" s="160">
        <f>IF($C109="yes",(I$60-H$60)*$D28/I$37/1000000000,0)</f>
        <v>3.9903390511498684E-4</v>
      </c>
      <c r="J109" s="160">
        <f>IF($C109="yes",(J$60-I$60)*$D28/J$37/1000000000,0)</f>
        <v>3.9508307437127429E-4</v>
      </c>
      <c r="K109" s="160">
        <f t="shared" ref="K109:M109" si="87">IF($C109="yes",(K$60-J$60)*$D28/K$37/1000000000,0)</f>
        <v>7.8234272152727608E-4</v>
      </c>
      <c r="L109" s="160">
        <f t="shared" si="87"/>
        <v>3.8729837699370053E-4</v>
      </c>
      <c r="M109" s="160">
        <f t="shared" si="87"/>
        <v>7.6692747919544714E-4</v>
      </c>
      <c r="N109" s="160">
        <f>IF($C109="yes",(N$60-M$60)*$E28/N$37/1000000000,0)</f>
        <v>4.3143985103254233E-4</v>
      </c>
      <c r="O109" s="160">
        <f>IF($C109="yes",(O$60-N$60)*$E28/O$37/1000000000,0)</f>
        <v>8.5433633867830234E-4</v>
      </c>
      <c r="P109" s="160">
        <f t="shared" ref="P109:R109" si="88">IF($C109="yes",(P$60-O$60)*$E28/P$37/1000000000,0)</f>
        <v>5.2867347690488961E-4</v>
      </c>
      <c r="Q109" s="160">
        <f t="shared" si="88"/>
        <v>9.4219035488000058E-4</v>
      </c>
      <c r="R109" s="160">
        <f t="shared" si="88"/>
        <v>5.1825652083608436E-4</v>
      </c>
      <c r="S109" s="160">
        <f>IF($C109="yes",(S$60-R$60)*$F28/S$37/1000000000,0)</f>
        <v>5.7470030033308353E-4</v>
      </c>
      <c r="T109" s="160">
        <f>IF($C109="yes",(T$60-S$60)*$F28/T$37/1000000000,0)</f>
        <v>3.4140611900975251E-4</v>
      </c>
      <c r="U109" s="160">
        <f t="shared" ref="U109:W109" si="89">IF($C109="yes",(U$60-T$60)*$F28/U$37/1000000000,0)</f>
        <v>3.3802586040569557E-4</v>
      </c>
      <c r="V109" s="160">
        <f t="shared" si="89"/>
        <v>3.3467906970860949E-4</v>
      </c>
      <c r="W109" s="160">
        <f t="shared" si="89"/>
        <v>3.3136541555307868E-4</v>
      </c>
      <c r="X109" s="160">
        <f>IF($C109="yes",(X$60-W$60)*$G28/X$37/1000000000,0)</f>
        <v>3.6323648805323483E-4</v>
      </c>
      <c r="Y109" s="160">
        <f>IF($C109="yes",(Y$60-X$60)*$G28/Y$37/1000000000,0)</f>
        <v>3.5964008718141919E-4</v>
      </c>
      <c r="Z109" s="160">
        <f t="shared" ref="Z109:AB109" si="90">IF($C109="yes",(Z$60-Y$60)*$G28/Z$37/1000000000,0)</f>
        <v>3.560792942390289E-4</v>
      </c>
      <c r="AA109" s="160">
        <f t="shared" si="90"/>
        <v>3.5255375667230589E-4</v>
      </c>
      <c r="AB109" s="160">
        <f t="shared" si="90"/>
        <v>3.490631254181246E-4</v>
      </c>
      <c r="AC109" s="160">
        <f>IF($C109="yes",(AC$60-AB$60)*$H28/AC$37/1000000000,0)</f>
        <v>3.9020151356226001E-4</v>
      </c>
      <c r="AD109" s="160">
        <f>IF($C109="yes",(AD$60-AC$60)*$H28/AD$37/1000000000,0)</f>
        <v>3.8633813223986144E-4</v>
      </c>
      <c r="AE109" s="160">
        <f t="shared" ref="AE109:AG109" si="91">IF($C109="yes",(AE$60-AD$60)*$H28/AE$37/1000000000,0)</f>
        <v>3.825130022176846E-4</v>
      </c>
      <c r="AF109" s="160">
        <f t="shared" si="91"/>
        <v>3.787257447699831E-4</v>
      </c>
      <c r="AG109" s="160">
        <f t="shared" si="91"/>
        <v>3.7497598492077698E-4</v>
      </c>
      <c r="AH109" s="246">
        <f>IF($C109="yes",(AH$60-AG$60)*$I28/AH$37/1000000000,0)</f>
        <v>4.0308592438442791E-4</v>
      </c>
      <c r="AI109" s="16"/>
    </row>
    <row r="110" spans="2:35" ht="14.45" customHeight="1" x14ac:dyDescent="0.3">
      <c r="B110" s="258" t="s">
        <v>57</v>
      </c>
      <c r="C110" s="162" t="s">
        <v>60</v>
      </c>
      <c r="D110" s="169"/>
      <c r="E110" s="361" t="s">
        <v>72</v>
      </c>
      <c r="F110" s="160">
        <f t="shared" ref="F110:AH110" si="92">IF($C110="yes",(F$60-E$60)*$C29/F$37/1000000000,0)</f>
        <v>0</v>
      </c>
      <c r="G110" s="160">
        <f t="shared" si="92"/>
        <v>0</v>
      </c>
      <c r="H110" s="160">
        <f t="shared" si="92"/>
        <v>1.7514856444524245E-3</v>
      </c>
      <c r="I110" s="160">
        <f t="shared" si="92"/>
        <v>6.3059789179205155E-4</v>
      </c>
      <c r="J110" s="160">
        <f t="shared" si="92"/>
        <v>6.2435434830896222E-4</v>
      </c>
      <c r="K110" s="160">
        <f t="shared" si="92"/>
        <v>1.2363452441761633E-3</v>
      </c>
      <c r="L110" s="160">
        <f t="shared" si="92"/>
        <v>6.1205210107730785E-4</v>
      </c>
      <c r="M110" s="160">
        <f t="shared" si="92"/>
        <v>1.2119843585689273E-3</v>
      </c>
      <c r="N110" s="160">
        <f t="shared" si="92"/>
        <v>5.9999225671729069E-4</v>
      </c>
      <c r="O110" s="160">
        <f t="shared" si="92"/>
        <v>1.1881034786481012E-3</v>
      </c>
      <c r="P110" s="160">
        <f t="shared" si="92"/>
        <v>7.3521254866837891E-4</v>
      </c>
      <c r="Q110" s="160">
        <f t="shared" si="92"/>
        <v>1.310279789706021E-3</v>
      </c>
      <c r="R110" s="160">
        <f t="shared" si="92"/>
        <v>7.2072595693400542E-4</v>
      </c>
      <c r="S110" s="160">
        <f t="shared" si="92"/>
        <v>7.1359005637030247E-4</v>
      </c>
      <c r="T110" s="160">
        <f t="shared" si="92"/>
        <v>4.2391488497245687E-4</v>
      </c>
      <c r="U110" s="160">
        <f t="shared" si="92"/>
        <v>4.1971770789352164E-4</v>
      </c>
      <c r="V110" s="160">
        <f t="shared" si="92"/>
        <v>4.1556208702328877E-4</v>
      </c>
      <c r="W110" s="160">
        <f t="shared" si="92"/>
        <v>4.1144761091414724E-4</v>
      </c>
      <c r="X110" s="160">
        <f t="shared" si="92"/>
        <v>4.0737387219222664E-4</v>
      </c>
      <c r="Y110" s="160">
        <f t="shared" si="92"/>
        <v>4.0334046751705445E-4</v>
      </c>
      <c r="Z110" s="160">
        <f t="shared" si="92"/>
        <v>3.9934699754163807E-4</v>
      </c>
      <c r="AA110" s="160">
        <f t="shared" si="92"/>
        <v>3.9539306687290903E-4</v>
      </c>
      <c r="AB110" s="160">
        <f t="shared" si="92"/>
        <v>3.9147828403258316E-4</v>
      </c>
      <c r="AC110" s="160">
        <f t="shared" si="92"/>
        <v>3.8760226141839921E-4</v>
      </c>
      <c r="AD110" s="160">
        <f t="shared" si="92"/>
        <v>3.8376461526574182E-4</v>
      </c>
      <c r="AE110" s="160">
        <f t="shared" si="92"/>
        <v>3.7996496560964535E-4</v>
      </c>
      <c r="AF110" s="160">
        <f t="shared" si="92"/>
        <v>3.7620293624717209E-4</v>
      </c>
      <c r="AG110" s="160">
        <f t="shared" si="92"/>
        <v>3.7247815470017192E-4</v>
      </c>
      <c r="AH110" s="246">
        <f t="shared" si="92"/>
        <v>3.6879025217838801E-4</v>
      </c>
      <c r="AI110" s="16"/>
    </row>
    <row r="111" spans="2:35" ht="14.45" customHeight="1" x14ac:dyDescent="0.3">
      <c r="B111" s="258" t="s">
        <v>61</v>
      </c>
      <c r="C111" s="162" t="s">
        <v>127</v>
      </c>
      <c r="D111" s="169"/>
      <c r="E111" s="247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248"/>
      <c r="AI111" s="16"/>
    </row>
    <row r="112" spans="2:35" ht="14.45" customHeight="1" x14ac:dyDescent="0.3">
      <c r="B112" s="259"/>
      <c r="C112" s="120"/>
      <c r="D112" s="358"/>
      <c r="E112" s="249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250"/>
      <c r="AI112" s="16"/>
    </row>
    <row r="113" spans="2:35" ht="14.45" customHeight="1" x14ac:dyDescent="0.3">
      <c r="B113" s="260"/>
      <c r="C113" s="119"/>
      <c r="D113" s="358"/>
      <c r="E113" s="249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250"/>
      <c r="AI113" s="16"/>
    </row>
    <row r="114" spans="2:35" ht="14.45" customHeight="1" x14ac:dyDescent="0.3">
      <c r="B114" s="260" t="s">
        <v>63</v>
      </c>
      <c r="C114" s="119"/>
      <c r="D114" s="358"/>
      <c r="E114" s="249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250"/>
      <c r="AI114" s="16"/>
    </row>
    <row r="115" spans="2:35" ht="14.45" customHeight="1" x14ac:dyDescent="0.35">
      <c r="B115" s="258" t="s">
        <v>75</v>
      </c>
      <c r="C115" s="162" t="s">
        <v>60</v>
      </c>
      <c r="D115" s="169"/>
      <c r="E115" s="361" t="s">
        <v>72</v>
      </c>
      <c r="F115" s="160">
        <f t="shared" ref="F115:H115" si="93">IF($C115="yes",(F$69-E$69)*$C26/F$37/1000000000,0)</f>
        <v>1.2490526848108251E-3</v>
      </c>
      <c r="G115" s="160">
        <f t="shared" si="93"/>
        <v>1.0615736904453442E-3</v>
      </c>
      <c r="H115" s="160">
        <f t="shared" si="93"/>
        <v>-6.3431735839606014E-4</v>
      </c>
      <c r="I115" s="160">
        <f>IF($C115="yes",(I$69-H$69)*$D26/I$37/1000000000,0)</f>
        <v>4.9757008832315177E-4</v>
      </c>
      <c r="J115" s="160">
        <f t="shared" ref="J115:M115" si="94">IF($C115="yes",(J$69-I$69)*$D26/J$37/1000000000,0)</f>
        <v>3.6015191303422561E-4</v>
      </c>
      <c r="K115" s="160">
        <f t="shared" si="94"/>
        <v>-3.97213691420809E-4</v>
      </c>
      <c r="L115" s="160">
        <f t="shared" si="94"/>
        <v>4.8729265496468433E-4</v>
      </c>
      <c r="M115" s="160">
        <f t="shared" si="94"/>
        <v>-1.6596062624458247E-4</v>
      </c>
      <c r="N115" s="160">
        <f>IF($C115="yes",(N$69-M$69)*$E26/N$37/1000000000,0)</f>
        <v>6.2150135861750299E-4</v>
      </c>
      <c r="O115" s="160">
        <f t="shared" ref="O115:R115" si="95">IF($C115="yes",(O$69-N$69)*$E26/O$37/1000000000,0)</f>
        <v>-4.0311871494110512E-4</v>
      </c>
      <c r="P115" s="160">
        <f t="shared" si="95"/>
        <v>-5.9014437825371445E-5</v>
      </c>
      <c r="Q115" s="160">
        <f t="shared" si="95"/>
        <v>-6.6031677267757252E-4</v>
      </c>
      <c r="R115" s="160">
        <f t="shared" si="95"/>
        <v>4.5272222543977765E-4</v>
      </c>
      <c r="S115" s="160">
        <f>IF($C115="yes",(S$69-R$69)*$F26/S$37/1000000000,0)</f>
        <v>-5.0757347488795857E-5</v>
      </c>
      <c r="T115" s="160">
        <f t="shared" ref="T115:W115" si="96">IF($C115="yes",(T$69-S$69)*$F26/T$37/1000000000,0)</f>
        <v>3.437912780800692E-4</v>
      </c>
      <c r="U115" s="160">
        <f t="shared" si="96"/>
        <v>3.7255921946312823E-4</v>
      </c>
      <c r="V115" s="160">
        <f t="shared" si="96"/>
        <v>4.0112992115335272E-4</v>
      </c>
      <c r="W115" s="160">
        <f t="shared" si="96"/>
        <v>4.2950590612255519E-4</v>
      </c>
      <c r="X115" s="160">
        <f>IF($C115="yes",(X$69-W$69)*$G26/X$37/1000000000,0)</f>
        <v>4.9106286915882597E-4</v>
      </c>
      <c r="Y115" s="160">
        <f t="shared" ref="Y115:AB115" si="97">IF($C115="yes",(Y$69-X$69)*$G26/Y$37/1000000000,0)</f>
        <v>5.210980868907317E-4</v>
      </c>
      <c r="Z115" s="160">
        <f t="shared" si="97"/>
        <v>5.509323007943835E-4</v>
      </c>
      <c r="AA115" s="160">
        <f t="shared" si="97"/>
        <v>5.8056807945814574E-4</v>
      </c>
      <c r="AB115" s="160">
        <f t="shared" si="97"/>
        <v>6.1000795801906195E-4</v>
      </c>
      <c r="AC115" s="160">
        <f>IF($C115="yes",(AC$69-AB$69)*$H26/AC$37/1000000000,0)</f>
        <v>6.8269891501534065E-4</v>
      </c>
      <c r="AD115" s="160">
        <f t="shared" ref="AD115:AG115" si="98">IF($C115="yes",(AD$69-AC$69)*$H26/AD$37/1000000000,0)</f>
        <v>7.1372911635891282E-4</v>
      </c>
      <c r="AE115" s="160">
        <f t="shared" si="98"/>
        <v>7.4455801662896208E-4</v>
      </c>
      <c r="AF115" s="160">
        <f t="shared" si="98"/>
        <v>7.7518818501623368E-4</v>
      </c>
      <c r="AG115" s="160">
        <f t="shared" si="98"/>
        <v>8.0562215728660082E-4</v>
      </c>
      <c r="AH115" s="246">
        <f>IF($C115="yes",(AH$69-AG$69)*$I26/AH$37/1000000000,0)</f>
        <v>8.81454932743952E-4</v>
      </c>
      <c r="AI115" s="16"/>
    </row>
    <row r="116" spans="2:35" ht="14.45" customHeight="1" x14ac:dyDescent="0.3">
      <c r="B116" s="258" t="s">
        <v>92</v>
      </c>
      <c r="C116" s="162" t="s">
        <v>60</v>
      </c>
      <c r="D116" s="169"/>
      <c r="E116" s="361" t="s">
        <v>72</v>
      </c>
      <c r="F116" s="160">
        <f t="shared" ref="F116:H116" si="99">IF($C116="yes",(F$69-E$69)*$C28/F$37/1000000000,0)</f>
        <v>7.0864429324218057E-4</v>
      </c>
      <c r="G116" s="160">
        <f t="shared" si="99"/>
        <v>6.0227894846891119E-4</v>
      </c>
      <c r="H116" s="160">
        <f t="shared" si="99"/>
        <v>-3.5987703449026458E-4</v>
      </c>
      <c r="I116" s="160">
        <f>IF($C116="yes",(I$69-H$69)*$D28/I$37/1000000000,0)</f>
        <v>2.8433478029495492E-4</v>
      </c>
      <c r="J116" s="160">
        <f t="shared" ref="J116:M116" si="100">IF($C116="yes",(J$69-I$69)*$D28/J$37/1000000000,0)</f>
        <v>2.0580761880301603E-4</v>
      </c>
      <c r="K116" s="160">
        <f t="shared" si="100"/>
        <v>-2.2698644940837492E-4</v>
      </c>
      <c r="L116" s="160">
        <f t="shared" si="100"/>
        <v>2.7846177501478616E-4</v>
      </c>
      <c r="M116" s="160">
        <f t="shared" si="100"/>
        <v>-9.4837650631079598E-5</v>
      </c>
      <c r="N116" s="160">
        <f>IF($C116="yes",(N$69-M$69)*$E28/N$37/1000000000,0)</f>
        <v>3.763771226842561E-4</v>
      </c>
      <c r="O116" s="160">
        <f t="shared" ref="O116:R116" si="101">IF($C116="yes",(O$69-N$69)*$E28/O$37/1000000000,0)</f>
        <v>-2.4412603436171321E-4</v>
      </c>
      <c r="P116" s="160">
        <f t="shared" si="101"/>
        <v>-3.5738754224046989E-5</v>
      </c>
      <c r="Q116" s="160">
        <f t="shared" si="101"/>
        <v>-3.9988348137062237E-4</v>
      </c>
      <c r="R116" s="160">
        <f t="shared" si="101"/>
        <v>2.7416559308135675E-4</v>
      </c>
      <c r="S116" s="160">
        <f>IF($C116="yes",(S$69-R$69)*$F28/S$37/1000000000,0)</f>
        <v>-3.1916616855814682E-5</v>
      </c>
      <c r="T116" s="160">
        <f t="shared" ref="T116:W116" si="102">IF($C116="yes",(T$69-S$69)*$F28/T$37/1000000000,0)</f>
        <v>2.1617864296936536E-4</v>
      </c>
      <c r="U116" s="160">
        <f t="shared" si="102"/>
        <v>2.3426814938134452E-4</v>
      </c>
      <c r="V116" s="160">
        <f t="shared" si="102"/>
        <v>2.5223362993270624E-4</v>
      </c>
      <c r="W116" s="160">
        <f t="shared" si="102"/>
        <v>2.7007667108784757E-4</v>
      </c>
      <c r="X116" s="160">
        <f>IF($C116="yes",(X$69-W$69)*$G28/X$37/1000000000,0)</f>
        <v>3.1863442848714674E-4</v>
      </c>
      <c r="Y116" s="160">
        <f t="shared" ref="Y116:AB116" si="103">IF($C116="yes",(Y$69-X$69)*$G28/Y$37/1000000000,0)</f>
        <v>3.3812328630465258E-4</v>
      </c>
      <c r="Z116" s="160">
        <f t="shared" si="103"/>
        <v>3.574817193966051E-4</v>
      </c>
      <c r="AA116" s="160">
        <f t="shared" si="103"/>
        <v>3.7671139443490515E-4</v>
      </c>
      <c r="AB116" s="160">
        <f t="shared" si="103"/>
        <v>3.9581395638599922E-4</v>
      </c>
      <c r="AC116" s="160">
        <f>IF($C116="yes",(AC$69-AB$69)*$H28/AC$37/1000000000,0)</f>
        <v>4.6831245186865472E-4</v>
      </c>
      <c r="AD116" s="160">
        <f t="shared" ref="AD116:AG116" si="104">IF($C116="yes",(AD$69-AC$69)*$H28/AD$37/1000000000,0)</f>
        <v>4.8959830622343967E-4</v>
      </c>
      <c r="AE116" s="160">
        <f t="shared" si="104"/>
        <v>5.1074607364527105E-4</v>
      </c>
      <c r="AF116" s="160">
        <f t="shared" si="104"/>
        <v>5.31757516527483E-4</v>
      </c>
      <c r="AG116" s="160">
        <f t="shared" si="104"/>
        <v>5.5263437433487829E-4</v>
      </c>
      <c r="AH116" s="246">
        <f>IF($C116="yes",(AH$69-AG$69)*$I28/AH$37/1000000000,0)</f>
        <v>6.2252508081297368E-4</v>
      </c>
      <c r="AI116" s="16"/>
    </row>
    <row r="117" spans="2:35" ht="14.45" customHeight="1" x14ac:dyDescent="0.3">
      <c r="B117" s="259"/>
      <c r="C117" s="120"/>
      <c r="D117" s="358"/>
      <c r="E117" s="249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250"/>
      <c r="AI117" s="16"/>
    </row>
    <row r="118" spans="2:35" ht="14.45" customHeight="1" x14ac:dyDescent="0.3">
      <c r="B118" s="260"/>
      <c r="C118" s="119"/>
      <c r="D118" s="358"/>
      <c r="E118" s="249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250"/>
      <c r="AI118" s="16"/>
    </row>
    <row r="119" spans="2:35" ht="14.45" customHeight="1" x14ac:dyDescent="0.3">
      <c r="B119" s="260" t="s">
        <v>28</v>
      </c>
      <c r="C119" s="119"/>
      <c r="D119" s="358"/>
      <c r="E119" s="249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250"/>
      <c r="AI119" s="16"/>
    </row>
    <row r="120" spans="2:35" ht="14.45" customHeight="1" x14ac:dyDescent="0.3">
      <c r="B120" s="258" t="s">
        <v>138</v>
      </c>
      <c r="C120" s="162" t="s">
        <v>139</v>
      </c>
      <c r="D120" s="169"/>
      <c r="E120" s="245">
        <f>IF($C120="yes",(E$75-D$75)*$C$26/E$37/1000000000,0)</f>
        <v>0</v>
      </c>
      <c r="F120" s="160">
        <f t="shared" ref="F120:T120" si="105">IF($C120="yes",(F$75-E$75)*$C$26/F$37/1000000000,0)</f>
        <v>0</v>
      </c>
      <c r="G120" s="160">
        <f t="shared" si="105"/>
        <v>0</v>
      </c>
      <c r="H120" s="160">
        <f t="shared" si="105"/>
        <v>0</v>
      </c>
      <c r="I120" s="160">
        <f t="shared" si="105"/>
        <v>0</v>
      </c>
      <c r="J120" s="160">
        <f t="shared" si="105"/>
        <v>0</v>
      </c>
      <c r="K120" s="160">
        <f t="shared" si="105"/>
        <v>0</v>
      </c>
      <c r="L120" s="160">
        <f t="shared" si="105"/>
        <v>0</v>
      </c>
      <c r="M120" s="160">
        <f t="shared" si="105"/>
        <v>0</v>
      </c>
      <c r="N120" s="160">
        <f t="shared" si="105"/>
        <v>0</v>
      </c>
      <c r="O120" s="160">
        <f t="shared" si="105"/>
        <v>0</v>
      </c>
      <c r="P120" s="160">
        <f t="shared" si="105"/>
        <v>0</v>
      </c>
      <c r="Q120" s="160">
        <f t="shared" si="105"/>
        <v>0</v>
      </c>
      <c r="R120" s="160">
        <f t="shared" si="105"/>
        <v>0</v>
      </c>
      <c r="S120" s="160">
        <f t="shared" si="105"/>
        <v>0</v>
      </c>
      <c r="T120" s="160">
        <f t="shared" si="105"/>
        <v>0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246"/>
      <c r="AI120" s="16"/>
    </row>
    <row r="121" spans="2:35" ht="14.45" customHeight="1" x14ac:dyDescent="0.3">
      <c r="B121" s="260"/>
      <c r="C121" s="119"/>
      <c r="D121" s="358"/>
      <c r="E121" s="249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250"/>
      <c r="AI121" s="16"/>
    </row>
    <row r="122" spans="2:35" ht="14.45" customHeight="1" x14ac:dyDescent="0.3">
      <c r="B122" s="260" t="s">
        <v>64</v>
      </c>
      <c r="C122" s="119"/>
      <c r="D122" s="358"/>
      <c r="E122" s="249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250"/>
      <c r="AI122" s="16"/>
    </row>
    <row r="123" spans="2:35" ht="14.45" customHeight="1" x14ac:dyDescent="0.3">
      <c r="B123" s="64" t="s">
        <v>65</v>
      </c>
      <c r="C123" s="162"/>
      <c r="D123" s="169"/>
      <c r="E123" s="362" t="s">
        <v>134</v>
      </c>
      <c r="F123" s="354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250"/>
      <c r="AI123" s="16"/>
    </row>
    <row r="124" spans="2:35" ht="14.45" customHeight="1" x14ac:dyDescent="0.35">
      <c r="B124" s="64" t="s">
        <v>75</v>
      </c>
      <c r="C124" s="162" t="s">
        <v>60</v>
      </c>
      <c r="D124" s="169"/>
      <c r="E124" s="361" t="s">
        <v>72</v>
      </c>
      <c r="F124" s="355">
        <f t="shared" ref="F124:H124" si="106">IF($C124="yes",(F$81-E$81)*$C$26/F$37/1000000000,0)</f>
        <v>3.1179000000000005E-4</v>
      </c>
      <c r="G124" s="355">
        <f t="shared" si="106"/>
        <v>3.1487702970297031E-4</v>
      </c>
      <c r="H124" s="355">
        <f t="shared" si="106"/>
        <v>3.1796405940594062E-4</v>
      </c>
      <c r="I124" s="355">
        <f>IF($C124="yes",(I$81-H$81)*$D$26/I$37/1000000000,0)</f>
        <v>3.5062158415841605E-4</v>
      </c>
      <c r="J124" s="355">
        <f t="shared" ref="J124:M124" si="107">IF($C124="yes",(J$81-I$81)*$D$26/J$37/1000000000,0)</f>
        <v>3.539929455445543E-4</v>
      </c>
      <c r="K124" s="355">
        <f t="shared" si="107"/>
        <v>3.5736430693069314E-4</v>
      </c>
      <c r="L124" s="355">
        <f t="shared" si="107"/>
        <v>3.607356683168315E-4</v>
      </c>
      <c r="M124" s="355">
        <f t="shared" si="107"/>
        <v>3.6410702970297057E-4</v>
      </c>
      <c r="N124" s="355">
        <f>IF($C124="yes",(N$81-M$81)*$E$26/N$37/1000000000,0)</f>
        <v>3.9404309405940643E-4</v>
      </c>
      <c r="O124" s="355">
        <f t="shared" ref="O124:R124" si="108">IF($C124="yes",(O$81-N$81)*$E$26/O$37/1000000000,0)</f>
        <v>3.9765816831683238E-4</v>
      </c>
      <c r="P124" s="355">
        <f t="shared" si="108"/>
        <v>4.0127324257425789E-4</v>
      </c>
      <c r="Q124" s="355">
        <f t="shared" si="108"/>
        <v>4.0488831683168334E-4</v>
      </c>
      <c r="R124" s="355">
        <f t="shared" si="108"/>
        <v>4.0850339108910934E-4</v>
      </c>
      <c r="S124" s="355">
        <f>IF($C124="yes",(S$81-R$81)*$F$26/S$37/1000000000,0)</f>
        <v>4.4453227722772285E-4</v>
      </c>
      <c r="T124" s="355">
        <f t="shared" ref="T124:W124" si="109">IF($C124="yes",(T$81-S$81)*$F$26/T$37/1000000000,0)</f>
        <v>4.4843168316831755E-4</v>
      </c>
      <c r="U124" s="355">
        <f t="shared" si="109"/>
        <v>4.5233108910891202E-4</v>
      </c>
      <c r="V124" s="355">
        <f t="shared" si="109"/>
        <v>4.562304950495045E-4</v>
      </c>
      <c r="W124" s="355">
        <f t="shared" si="109"/>
        <v>4.601299009900999E-4</v>
      </c>
      <c r="X124" s="355">
        <f>IF($C124="yes",(X$81-W$81)*$G$26/X$37/1000000000,0)</f>
        <v>4.9786477722772455E-4</v>
      </c>
      <c r="Y124" s="355">
        <f t="shared" ref="Y124:AB124" si="110">IF($C124="yes",(Y$81-X$81)*$G$26/Y$37/1000000000,0)</f>
        <v>5.0204851485148453E-4</v>
      </c>
      <c r="Z124" s="355">
        <f t="shared" si="110"/>
        <v>5.0623225247524721E-4</v>
      </c>
      <c r="AA124" s="355">
        <f t="shared" si="110"/>
        <v>5.1041599009901001E-4</v>
      </c>
      <c r="AB124" s="355">
        <f t="shared" si="110"/>
        <v>5.145997277227728E-4</v>
      </c>
      <c r="AC124" s="355">
        <f>IF($C124="yes",(AC$81-AB$81)*$H$26/AC$37/1000000000,0)</f>
        <v>5.5404059405940616E-4</v>
      </c>
      <c r="AD124" s="355">
        <f t="shared" ref="AD124:AG124" si="111">IF($C124="yes",(AD$81-AC$81)*$H$26/AD$37/1000000000,0)</f>
        <v>5.5850866336633667E-4</v>
      </c>
      <c r="AE124" s="355">
        <f t="shared" si="111"/>
        <v>5.6297673267326827E-4</v>
      </c>
      <c r="AF124" s="355">
        <f t="shared" si="111"/>
        <v>5.6744480198019694E-4</v>
      </c>
      <c r="AG124" s="355">
        <f t="shared" si="111"/>
        <v>5.7191287128713028E-4</v>
      </c>
      <c r="AH124" s="251">
        <f>IF($C124="yes",(AH$81-AG$81)*$I$26/AH$37/1000000000,0)</f>
        <v>6.078199009900972E-4</v>
      </c>
      <c r="AI124" s="16"/>
    </row>
    <row r="125" spans="2:35" ht="14.45" customHeight="1" x14ac:dyDescent="0.3">
      <c r="B125" s="64" t="s">
        <v>92</v>
      </c>
      <c r="C125" s="162" t="s">
        <v>60</v>
      </c>
      <c r="D125" s="169"/>
      <c r="E125" s="361" t="s">
        <v>72</v>
      </c>
      <c r="F125" s="355">
        <f t="shared" ref="F125:H125" si="112">IF($C125="yes",(F$81-E$81)*$C$28/F$37/1000000000,0)</f>
        <v>1.7689262180597539E-4</v>
      </c>
      <c r="G125" s="355">
        <f t="shared" si="112"/>
        <v>1.7864403390306424E-4</v>
      </c>
      <c r="H125" s="355">
        <f t="shared" si="112"/>
        <v>1.8039544600015315E-4</v>
      </c>
      <c r="I125" s="355">
        <f>IF($C125="yes",(I$81-H$81)*$D$28/I$37/1000000000,0)</f>
        <v>2.0036154390696626E-4</v>
      </c>
      <c r="J125" s="355">
        <f t="shared" ref="J125:M125" si="113">IF($C125="yes",(J$81-I$81)*$D$28/J$37/1000000000,0)</f>
        <v>2.0228809721376383E-4</v>
      </c>
      <c r="K125" s="355">
        <f t="shared" si="113"/>
        <v>2.0421465052056169E-4</v>
      </c>
      <c r="L125" s="355">
        <f t="shared" si="113"/>
        <v>2.0614120382735933E-4</v>
      </c>
      <c r="M125" s="355">
        <f t="shared" si="113"/>
        <v>2.0806775713415733E-4</v>
      </c>
      <c r="N125" s="355">
        <f>IF($C125="yes",(N$81-M$81)*$E$28/N$37/1000000000,0)</f>
        <v>2.3862989822835822E-4</v>
      </c>
      <c r="O125" s="355">
        <f t="shared" ref="O125:R125" si="114">IF($C125="yes",(O$81-N$81)*$E$28/O$37/1000000000,0)</f>
        <v>2.4081916334971941E-4</v>
      </c>
      <c r="P125" s="355">
        <f t="shared" si="114"/>
        <v>2.4300842847108033E-4</v>
      </c>
      <c r="Q125" s="355">
        <f t="shared" si="114"/>
        <v>2.4519769359244119E-4</v>
      </c>
      <c r="R125" s="355">
        <f t="shared" si="114"/>
        <v>2.4738695871380246E-4</v>
      </c>
      <c r="S125" s="355">
        <f>IF($C125="yes",(S$81-R$81)*$F$28/S$37/1000000000,0)</f>
        <v>2.7952537069538295E-4</v>
      </c>
      <c r="T125" s="355">
        <f t="shared" ref="T125:W125" si="115">IF($C125="yes",(T$81-S$81)*$F$28/T$37/1000000000,0)</f>
        <v>2.8197734763130773E-4</v>
      </c>
      <c r="U125" s="355">
        <f t="shared" si="115"/>
        <v>2.8442932456723241E-4</v>
      </c>
      <c r="V125" s="355">
        <f t="shared" si="115"/>
        <v>2.8688130150315584E-4</v>
      </c>
      <c r="W125" s="355">
        <f t="shared" si="115"/>
        <v>2.8933327843908111E-4</v>
      </c>
      <c r="X125" s="355">
        <f>IF($C125="yes",(X$81-W$81)*$G$28/X$37/1000000000,0)</f>
        <v>3.2304796130804231E-4</v>
      </c>
      <c r="Y125" s="355">
        <f t="shared" ref="Y125:AB125" si="116">IF($C125="yes",(Y$81-X$81)*$G$28/Y$37/1000000000,0)</f>
        <v>3.2576265005852855E-4</v>
      </c>
      <c r="Z125" s="355">
        <f t="shared" si="116"/>
        <v>3.2847733880901647E-4</v>
      </c>
      <c r="AA125" s="355">
        <f t="shared" si="116"/>
        <v>3.3119202755950449E-4</v>
      </c>
      <c r="AB125" s="355">
        <f t="shared" si="116"/>
        <v>3.3390671630999236E-4</v>
      </c>
      <c r="AC125" s="355">
        <f>IF($C125="yes",(AC$81-AB$81)*$H$28/AC$37/1000000000,0)</f>
        <v>3.8005642506828388E-4</v>
      </c>
      <c r="AD125" s="355">
        <f t="shared" ref="AD125:AG125" si="117">IF($C125="yes",(AD$81-AC$81)*$H$28/AD$37/1000000000,0)</f>
        <v>3.8312139623818933E-4</v>
      </c>
      <c r="AE125" s="355">
        <f t="shared" si="117"/>
        <v>3.8618636740809533E-4</v>
      </c>
      <c r="AF125" s="355">
        <f t="shared" si="117"/>
        <v>3.8925133857799958E-4</v>
      </c>
      <c r="AG125" s="355">
        <f t="shared" si="117"/>
        <v>3.9231630974790688E-4</v>
      </c>
      <c r="AH125" s="251">
        <f>IF($C125="yes",(AH$81-AG$81)*$I$28/AH$37/1000000000,0)</f>
        <v>4.2927110499647956E-4</v>
      </c>
      <c r="AI125" s="16"/>
    </row>
    <row r="126" spans="2:35" ht="14.45" customHeight="1" x14ac:dyDescent="0.3">
      <c r="B126" s="64" t="s">
        <v>57</v>
      </c>
      <c r="C126" s="162" t="s">
        <v>60</v>
      </c>
      <c r="D126" s="169"/>
      <c r="E126" s="361" t="s">
        <v>72</v>
      </c>
      <c r="F126" s="355">
        <f t="shared" ref="F126:AH126" si="118">IF($C126="yes",(F$81-E$81)*$C$29/F$37/1000000000,0)</f>
        <v>3.0749999999999999E-4</v>
      </c>
      <c r="G126" s="355">
        <f t="shared" si="118"/>
        <v>3.1054455445544548E-4</v>
      </c>
      <c r="H126" s="355">
        <f t="shared" si="118"/>
        <v>3.1358910891089112E-4</v>
      </c>
      <c r="I126" s="355">
        <f t="shared" si="118"/>
        <v>3.1663366336633677E-4</v>
      </c>
      <c r="J126" s="355">
        <f t="shared" si="118"/>
        <v>3.1967821782178199E-4</v>
      </c>
      <c r="K126" s="355">
        <f t="shared" si="118"/>
        <v>3.2272277227722779E-4</v>
      </c>
      <c r="L126" s="355">
        <f t="shared" si="118"/>
        <v>3.2576732673267312E-4</v>
      </c>
      <c r="M126" s="355">
        <f t="shared" si="118"/>
        <v>3.2881188118811898E-4</v>
      </c>
      <c r="N126" s="355">
        <f t="shared" si="118"/>
        <v>3.3185643564356474E-4</v>
      </c>
      <c r="O126" s="355">
        <f t="shared" si="118"/>
        <v>3.3490099009901049E-4</v>
      </c>
      <c r="P126" s="355">
        <f t="shared" si="118"/>
        <v>3.3794554455445581E-4</v>
      </c>
      <c r="Q126" s="355">
        <f t="shared" si="118"/>
        <v>3.4099009900990103E-4</v>
      </c>
      <c r="R126" s="355">
        <f t="shared" si="118"/>
        <v>3.4403465346534684E-4</v>
      </c>
      <c r="S126" s="355">
        <f t="shared" si="118"/>
        <v>3.4707920792079216E-4</v>
      </c>
      <c r="T126" s="355">
        <f t="shared" si="118"/>
        <v>3.5012376237623813E-4</v>
      </c>
      <c r="U126" s="355">
        <f t="shared" si="118"/>
        <v>3.5316831683168399E-4</v>
      </c>
      <c r="V126" s="355">
        <f t="shared" si="118"/>
        <v>3.5621287128712834E-4</v>
      </c>
      <c r="W126" s="355">
        <f t="shared" si="118"/>
        <v>3.5925742574257491E-4</v>
      </c>
      <c r="X126" s="355">
        <f t="shared" si="118"/>
        <v>3.6230198019802104E-4</v>
      </c>
      <c r="Y126" s="355">
        <f t="shared" si="118"/>
        <v>3.653465346534649E-4</v>
      </c>
      <c r="Z126" s="355">
        <f t="shared" si="118"/>
        <v>3.6839108910891066E-4</v>
      </c>
      <c r="AA126" s="355">
        <f t="shared" si="118"/>
        <v>3.7143564356435657E-4</v>
      </c>
      <c r="AB126" s="355">
        <f t="shared" si="118"/>
        <v>3.7448019801980233E-4</v>
      </c>
      <c r="AC126" s="355">
        <f t="shared" si="118"/>
        <v>3.7752475247524765E-4</v>
      </c>
      <c r="AD126" s="355">
        <f t="shared" si="118"/>
        <v>3.8056930693069314E-4</v>
      </c>
      <c r="AE126" s="355">
        <f t="shared" si="118"/>
        <v>3.8361386138613922E-4</v>
      </c>
      <c r="AF126" s="355">
        <f t="shared" si="118"/>
        <v>3.8665841584158345E-4</v>
      </c>
      <c r="AG126" s="355">
        <f t="shared" si="118"/>
        <v>3.8970297029703078E-4</v>
      </c>
      <c r="AH126" s="251">
        <f t="shared" si="118"/>
        <v>3.927475247524741E-4</v>
      </c>
      <c r="AI126" s="16"/>
    </row>
    <row r="127" spans="2:35" ht="14.45" customHeight="1" x14ac:dyDescent="0.3">
      <c r="B127" s="64" t="s">
        <v>61</v>
      </c>
      <c r="C127" s="162" t="s">
        <v>127</v>
      </c>
      <c r="D127" s="169"/>
      <c r="E127" s="247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248"/>
      <c r="AI127" s="16"/>
    </row>
    <row r="128" spans="2:35" ht="14.45" customHeight="1" x14ac:dyDescent="0.3">
      <c r="B128" s="260"/>
      <c r="C128" s="119"/>
      <c r="D128" s="358"/>
      <c r="E128" s="249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250"/>
      <c r="AI128" s="16"/>
    </row>
    <row r="129" spans="2:35" ht="14.45" customHeight="1" x14ac:dyDescent="0.3">
      <c r="B129" s="260" t="s">
        <v>91</v>
      </c>
      <c r="C129" s="119"/>
      <c r="D129" s="359"/>
      <c r="E129" s="249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250"/>
      <c r="AI129" s="16"/>
    </row>
    <row r="130" spans="2:35" ht="14.45" customHeight="1" x14ac:dyDescent="0.3">
      <c r="B130" s="64" t="s">
        <v>66</v>
      </c>
      <c r="C130" s="162" t="s">
        <v>127</v>
      </c>
      <c r="D130" s="169"/>
      <c r="E130" s="247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248"/>
      <c r="AI130" s="16"/>
    </row>
    <row r="131" spans="2:35" ht="14.45" customHeight="1" x14ac:dyDescent="0.35">
      <c r="B131" s="64" t="s">
        <v>75</v>
      </c>
      <c r="C131" s="162" t="s">
        <v>127</v>
      </c>
      <c r="D131" s="169"/>
      <c r="E131" s="247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248"/>
      <c r="AI131" s="16"/>
    </row>
    <row r="132" spans="2:35" ht="14.45" customHeight="1" x14ac:dyDescent="0.3">
      <c r="B132" s="64" t="s">
        <v>92</v>
      </c>
      <c r="C132" s="162" t="s">
        <v>127</v>
      </c>
      <c r="D132" s="169"/>
      <c r="E132" s="247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248"/>
      <c r="AI132" s="16"/>
    </row>
    <row r="133" spans="2:35" ht="14.45" customHeight="1" x14ac:dyDescent="0.3">
      <c r="B133" s="64" t="s">
        <v>57</v>
      </c>
      <c r="C133" s="162" t="s">
        <v>127</v>
      </c>
      <c r="D133" s="169"/>
      <c r="E133" s="247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248"/>
      <c r="AI133" s="16"/>
    </row>
    <row r="134" spans="2:35" ht="14.45" customHeight="1" thickBot="1" x14ac:dyDescent="0.35">
      <c r="B134" s="64" t="s">
        <v>61</v>
      </c>
      <c r="C134" s="162" t="s">
        <v>127</v>
      </c>
      <c r="D134" s="169"/>
      <c r="E134" s="363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5"/>
      <c r="AI134" s="16"/>
    </row>
    <row r="135" spans="2:35" ht="14.45" customHeight="1" x14ac:dyDescent="0.3">
      <c r="B135" s="70"/>
      <c r="C135" s="366"/>
      <c r="D135" s="367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6"/>
    </row>
    <row r="136" spans="2:35" ht="22.9" customHeight="1" x14ac:dyDescent="0.35">
      <c r="B136" s="252" t="s">
        <v>31</v>
      </c>
      <c r="C136" s="86"/>
      <c r="D136" s="86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6"/>
    </row>
    <row r="137" spans="2:35" ht="14.45" customHeight="1" thickBot="1" x14ac:dyDescent="0.3">
      <c r="B137" s="76"/>
      <c r="C137" s="254"/>
      <c r="D137" s="25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255"/>
      <c r="AI137" s="16"/>
    </row>
    <row r="138" spans="2:35" ht="14.45" customHeight="1" thickBot="1" x14ac:dyDescent="0.3">
      <c r="B138" s="253" t="s">
        <v>122</v>
      </c>
      <c r="C138" s="102">
        <v>2019</v>
      </c>
      <c r="D138" s="168">
        <f t="shared" ref="D138" si="119">1+C138</f>
        <v>2020</v>
      </c>
      <c r="E138" s="44">
        <f t="shared" ref="E138" si="120">1+D138</f>
        <v>2021</v>
      </c>
      <c r="F138" s="42">
        <f t="shared" ref="F138" si="121">1+E138</f>
        <v>2022</v>
      </c>
      <c r="G138" s="42">
        <f t="shared" ref="G138" si="122">1+F138</f>
        <v>2023</v>
      </c>
      <c r="H138" s="42">
        <f t="shared" ref="H138" si="123">1+G138</f>
        <v>2024</v>
      </c>
      <c r="I138" s="42">
        <f t="shared" ref="I138" si="124">1+H138</f>
        <v>2025</v>
      </c>
      <c r="J138" s="42">
        <f t="shared" ref="J138" si="125">1+I138</f>
        <v>2026</v>
      </c>
      <c r="K138" s="42">
        <f t="shared" ref="K138" si="126">1+J138</f>
        <v>2027</v>
      </c>
      <c r="L138" s="42">
        <f t="shared" ref="L138" si="127">1+K138</f>
        <v>2028</v>
      </c>
      <c r="M138" s="42">
        <f t="shared" ref="M138" si="128">1+L138</f>
        <v>2029</v>
      </c>
      <c r="N138" s="42">
        <f t="shared" ref="N138" si="129">1+M138</f>
        <v>2030</v>
      </c>
      <c r="O138" s="42">
        <f t="shared" ref="O138" si="130">1+N138</f>
        <v>2031</v>
      </c>
      <c r="P138" s="42">
        <f t="shared" ref="P138" si="131">1+O138</f>
        <v>2032</v>
      </c>
      <c r="Q138" s="42">
        <f t="shared" ref="Q138" si="132">1+P138</f>
        <v>2033</v>
      </c>
      <c r="R138" s="42">
        <f t="shared" ref="R138" si="133">1+Q138</f>
        <v>2034</v>
      </c>
      <c r="S138" s="42">
        <f t="shared" ref="S138" si="134">1+R138</f>
        <v>2035</v>
      </c>
      <c r="T138" s="42">
        <f t="shared" ref="T138" si="135">1+S138</f>
        <v>2036</v>
      </c>
      <c r="U138" s="42">
        <f t="shared" ref="U138" si="136">1+T138</f>
        <v>2037</v>
      </c>
      <c r="V138" s="42">
        <f t="shared" ref="V138" si="137">1+U138</f>
        <v>2038</v>
      </c>
      <c r="W138" s="42">
        <f t="shared" ref="W138" si="138">1+V138</f>
        <v>2039</v>
      </c>
      <c r="X138" s="42">
        <f t="shared" ref="X138" si="139">1+W138</f>
        <v>2040</v>
      </c>
      <c r="Y138" s="42">
        <f t="shared" ref="Y138" si="140">1+X138</f>
        <v>2041</v>
      </c>
      <c r="Z138" s="42">
        <f t="shared" ref="Z138" si="141">1+Y138</f>
        <v>2042</v>
      </c>
      <c r="AA138" s="42">
        <f t="shared" ref="AA138" si="142">1+Z138</f>
        <v>2043</v>
      </c>
      <c r="AB138" s="42">
        <f t="shared" ref="AB138" si="143">1+AA138</f>
        <v>2044</v>
      </c>
      <c r="AC138" s="42">
        <f t="shared" ref="AC138" si="144">1+AB138</f>
        <v>2045</v>
      </c>
      <c r="AD138" s="42">
        <f t="shared" ref="AD138" si="145">1+AC138</f>
        <v>2046</v>
      </c>
      <c r="AE138" s="42">
        <f t="shared" ref="AE138" si="146">1+AD138</f>
        <v>2047</v>
      </c>
      <c r="AF138" s="42">
        <f t="shared" ref="AF138" si="147">1+AE138</f>
        <v>2048</v>
      </c>
      <c r="AG138" s="45">
        <f t="shared" ref="AG138" si="148">1+AF138</f>
        <v>2049</v>
      </c>
      <c r="AH138" s="45">
        <f t="shared" ref="AH138" si="149">1+AG138</f>
        <v>2050</v>
      </c>
      <c r="AI138" s="16"/>
    </row>
    <row r="139" spans="2:35" ht="14.45" customHeight="1" x14ac:dyDescent="0.25">
      <c r="B139" s="278"/>
      <c r="C139" s="279"/>
      <c r="D139" s="279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16"/>
    </row>
    <row r="140" spans="2:35" ht="14.45" customHeight="1" x14ac:dyDescent="0.3">
      <c r="B140" s="72" t="s">
        <v>136</v>
      </c>
      <c r="C140" s="47"/>
      <c r="D140" s="47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16"/>
    </row>
    <row r="141" spans="2:35" ht="30.6" customHeight="1" x14ac:dyDescent="0.25">
      <c r="B141" s="399" t="s">
        <v>144</v>
      </c>
      <c r="C141" s="399"/>
      <c r="D141" s="399"/>
      <c r="E141" s="283" t="s">
        <v>72</v>
      </c>
      <c r="F141" s="284">
        <f t="shared" ref="F141:AH141" si="150">F90</f>
        <v>1.7498221692954022E-3</v>
      </c>
      <c r="G141" s="284">
        <f t="shared" si="150"/>
        <v>1.8587933875323856E-3</v>
      </c>
      <c r="H141" s="284">
        <f t="shared" si="150"/>
        <v>3.3437340239125431E-3</v>
      </c>
      <c r="I141" s="284">
        <f t="shared" si="150"/>
        <v>1.8179180510067561E-3</v>
      </c>
      <c r="J141" s="284">
        <f t="shared" si="150"/>
        <v>1.0833593836456802E-3</v>
      </c>
      <c r="K141" s="284">
        <f t="shared" si="150"/>
        <v>2.2566227868667556E-3</v>
      </c>
      <c r="L141" s="284">
        <f t="shared" si="150"/>
        <v>1.714524465810871E-4</v>
      </c>
      <c r="M141" s="284">
        <f t="shared" si="150"/>
        <v>-6.5252671700910536E-4</v>
      </c>
      <c r="N141" s="284">
        <f t="shared" si="150"/>
        <v>-8.6041009288936182E-5</v>
      </c>
      <c r="O141" s="284">
        <f t="shared" si="150"/>
        <v>8.3753253136688646E-4</v>
      </c>
      <c r="P141" s="284">
        <f t="shared" si="150"/>
        <v>8.3174338774529705E-4</v>
      </c>
      <c r="Q141" s="284">
        <f t="shared" si="150"/>
        <v>6.3879532837769065E-4</v>
      </c>
      <c r="R141" s="284">
        <f t="shared" si="150"/>
        <v>-1.5691500364512639E-4</v>
      </c>
      <c r="S141" s="284">
        <f t="shared" si="150"/>
        <v>1.2985590987205087E-4</v>
      </c>
      <c r="T141" s="284">
        <f t="shared" si="150"/>
        <v>1.662126982863027E-4</v>
      </c>
      <c r="U141" s="284">
        <f t="shared" si="150"/>
        <v>-2.5320383847347028E-3</v>
      </c>
      <c r="V141" s="284">
        <f t="shared" si="150"/>
        <v>-3.7777552539854792E-4</v>
      </c>
      <c r="W141" s="284">
        <f t="shared" si="150"/>
        <v>-1.217111006686887E-4</v>
      </c>
      <c r="X141" s="284">
        <f t="shared" si="150"/>
        <v>-1.4925910980248536E-4</v>
      </c>
      <c r="Y141" s="284">
        <f t="shared" si="150"/>
        <v>-1.7416686029154277E-4</v>
      </c>
      <c r="Z141" s="284">
        <f t="shared" si="150"/>
        <v>-6.3531500405644009E-4</v>
      </c>
      <c r="AA141" s="284">
        <f t="shared" si="150"/>
        <v>-8.4841500837436884E-4</v>
      </c>
      <c r="AB141" s="284">
        <f t="shared" si="150"/>
        <v>-5.6982782860580741E-4</v>
      </c>
      <c r="AC141" s="284">
        <f t="shared" si="150"/>
        <v>-2.2036011019432519E-4</v>
      </c>
      <c r="AD141" s="284">
        <f t="shared" si="150"/>
        <v>-5.6991027839665628E-4</v>
      </c>
      <c r="AE141" s="284">
        <f t="shared" si="150"/>
        <v>-5.7486011902646572E-4</v>
      </c>
      <c r="AF141" s="284">
        <f t="shared" si="150"/>
        <v>-5.7911932557003221E-4</v>
      </c>
      <c r="AG141" s="284">
        <f t="shared" si="150"/>
        <v>-5.8376673207890736E-4</v>
      </c>
      <c r="AH141" s="284">
        <f t="shared" si="150"/>
        <v>-5.8783996064446994E-4</v>
      </c>
      <c r="AI141" s="16"/>
    </row>
    <row r="142" spans="2:35" ht="14.45" customHeight="1" x14ac:dyDescent="0.25">
      <c r="B142" s="404" t="s">
        <v>145</v>
      </c>
      <c r="C142" s="405"/>
      <c r="D142" s="406"/>
      <c r="E142" s="283" t="s">
        <v>72</v>
      </c>
      <c r="F142" s="284">
        <f t="shared" ref="F142:AH142" si="151">-(F98+F107)</f>
        <v>-1.56E-3</v>
      </c>
      <c r="G142" s="284">
        <f t="shared" si="151"/>
        <v>-1.0919999999999999E-3</v>
      </c>
      <c r="H142" s="284">
        <f t="shared" si="151"/>
        <v>-1.56E-3</v>
      </c>
      <c r="I142" s="284">
        <f t="shared" si="151"/>
        <v>-1.56E-3</v>
      </c>
      <c r="J142" s="284">
        <f t="shared" si="151"/>
        <v>-1.56E-3</v>
      </c>
      <c r="K142" s="284">
        <f t="shared" si="151"/>
        <v>-1.56E-3</v>
      </c>
      <c r="L142" s="284">
        <f t="shared" si="151"/>
        <v>-1.56E-3</v>
      </c>
      <c r="M142" s="284">
        <f t="shared" si="151"/>
        <v>-1.56E-3</v>
      </c>
      <c r="N142" s="284">
        <f t="shared" si="151"/>
        <v>-1.56E-3</v>
      </c>
      <c r="O142" s="284">
        <f t="shared" si="151"/>
        <v>0</v>
      </c>
      <c r="P142" s="284">
        <f t="shared" si="151"/>
        <v>0</v>
      </c>
      <c r="Q142" s="284">
        <f t="shared" si="151"/>
        <v>0</v>
      </c>
      <c r="R142" s="284">
        <f t="shared" si="151"/>
        <v>0</v>
      </c>
      <c r="S142" s="284">
        <f t="shared" si="151"/>
        <v>0</v>
      </c>
      <c r="T142" s="284">
        <f t="shared" si="151"/>
        <v>0</v>
      </c>
      <c r="U142" s="284">
        <f t="shared" si="151"/>
        <v>0</v>
      </c>
      <c r="V142" s="284">
        <f t="shared" si="151"/>
        <v>0</v>
      </c>
      <c r="W142" s="284">
        <f t="shared" si="151"/>
        <v>0</v>
      </c>
      <c r="X142" s="284">
        <f t="shared" si="151"/>
        <v>0</v>
      </c>
      <c r="Y142" s="284">
        <f t="shared" si="151"/>
        <v>0</v>
      </c>
      <c r="Z142" s="284">
        <f t="shared" si="151"/>
        <v>0</v>
      </c>
      <c r="AA142" s="284">
        <f t="shared" si="151"/>
        <v>0</v>
      </c>
      <c r="AB142" s="284">
        <f t="shared" si="151"/>
        <v>0</v>
      </c>
      <c r="AC142" s="284">
        <f t="shared" si="151"/>
        <v>0</v>
      </c>
      <c r="AD142" s="284">
        <f t="shared" si="151"/>
        <v>0</v>
      </c>
      <c r="AE142" s="284">
        <f t="shared" si="151"/>
        <v>0</v>
      </c>
      <c r="AF142" s="284">
        <f t="shared" si="151"/>
        <v>0</v>
      </c>
      <c r="AG142" s="284">
        <f t="shared" si="151"/>
        <v>0</v>
      </c>
      <c r="AH142" s="284">
        <f t="shared" si="151"/>
        <v>0</v>
      </c>
      <c r="AI142" s="16"/>
    </row>
    <row r="143" spans="2:35" ht="14.45" customHeight="1" x14ac:dyDescent="0.25">
      <c r="B143" s="404" t="s">
        <v>146</v>
      </c>
      <c r="C143" s="405"/>
      <c r="D143" s="406"/>
      <c r="E143" s="283" t="s">
        <v>72</v>
      </c>
      <c r="F143" s="284">
        <f>F141+F142</f>
        <v>1.8982216929540221E-4</v>
      </c>
      <c r="G143" s="284">
        <f t="shared" ref="G143:AH143" si="152">G141+G142</f>
        <v>7.6679338753238573E-4</v>
      </c>
      <c r="H143" s="284">
        <f t="shared" si="152"/>
        <v>1.7837340239125431E-3</v>
      </c>
      <c r="I143" s="284">
        <f t="shared" si="152"/>
        <v>2.579180510067561E-4</v>
      </c>
      <c r="J143" s="284">
        <f t="shared" si="152"/>
        <v>-4.7664061635431976E-4</v>
      </c>
      <c r="K143" s="284">
        <f t="shared" si="152"/>
        <v>6.966227868667556E-4</v>
      </c>
      <c r="L143" s="284">
        <f t="shared" si="152"/>
        <v>-1.3885475534189129E-3</v>
      </c>
      <c r="M143" s="284">
        <f t="shared" si="152"/>
        <v>-2.2125267170091051E-3</v>
      </c>
      <c r="N143" s="284">
        <f t="shared" si="152"/>
        <v>-1.6460410092889362E-3</v>
      </c>
      <c r="O143" s="284">
        <f t="shared" si="152"/>
        <v>8.3753253136688646E-4</v>
      </c>
      <c r="P143" s="284">
        <f t="shared" si="152"/>
        <v>8.3174338774529705E-4</v>
      </c>
      <c r="Q143" s="284">
        <f t="shared" si="152"/>
        <v>6.3879532837769065E-4</v>
      </c>
      <c r="R143" s="284">
        <f t="shared" si="152"/>
        <v>-1.5691500364512639E-4</v>
      </c>
      <c r="S143" s="284">
        <f t="shared" si="152"/>
        <v>1.2985590987205087E-4</v>
      </c>
      <c r="T143" s="284">
        <f t="shared" si="152"/>
        <v>1.662126982863027E-4</v>
      </c>
      <c r="U143" s="284">
        <f t="shared" si="152"/>
        <v>-2.5320383847347028E-3</v>
      </c>
      <c r="V143" s="284">
        <f t="shared" si="152"/>
        <v>-3.7777552539854792E-4</v>
      </c>
      <c r="W143" s="284">
        <f t="shared" si="152"/>
        <v>-1.217111006686887E-4</v>
      </c>
      <c r="X143" s="284">
        <f t="shared" si="152"/>
        <v>-1.4925910980248536E-4</v>
      </c>
      <c r="Y143" s="284">
        <f t="shared" si="152"/>
        <v>-1.7416686029154277E-4</v>
      </c>
      <c r="Z143" s="284">
        <f t="shared" si="152"/>
        <v>-6.3531500405644009E-4</v>
      </c>
      <c r="AA143" s="284">
        <f t="shared" si="152"/>
        <v>-8.4841500837436884E-4</v>
      </c>
      <c r="AB143" s="284">
        <f t="shared" si="152"/>
        <v>-5.6982782860580741E-4</v>
      </c>
      <c r="AC143" s="284">
        <f t="shared" si="152"/>
        <v>-2.2036011019432519E-4</v>
      </c>
      <c r="AD143" s="284">
        <f t="shared" si="152"/>
        <v>-5.6991027839665628E-4</v>
      </c>
      <c r="AE143" s="284">
        <f t="shared" si="152"/>
        <v>-5.7486011902646572E-4</v>
      </c>
      <c r="AF143" s="284">
        <f t="shared" si="152"/>
        <v>-5.7911932557003221E-4</v>
      </c>
      <c r="AG143" s="284">
        <f t="shared" si="152"/>
        <v>-5.8376673207890736E-4</v>
      </c>
      <c r="AH143" s="284">
        <f t="shared" si="152"/>
        <v>-5.8783996064446994E-4</v>
      </c>
      <c r="AI143" s="16"/>
    </row>
    <row r="144" spans="2:35" ht="14.45" customHeight="1" x14ac:dyDescent="0.25">
      <c r="B144" s="51"/>
      <c r="C144" s="47"/>
      <c r="D144" s="47"/>
      <c r="E144" s="281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16"/>
    </row>
    <row r="145" spans="2:35" ht="14.45" customHeight="1" x14ac:dyDescent="0.3">
      <c r="B145" s="72" t="s">
        <v>137</v>
      </c>
      <c r="C145" s="47"/>
      <c r="D145" s="47"/>
      <c r="E145" s="28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16"/>
    </row>
    <row r="146" spans="2:35" ht="31.15" customHeight="1" x14ac:dyDescent="0.25">
      <c r="B146" s="415" t="s">
        <v>129</v>
      </c>
      <c r="C146" s="415"/>
      <c r="D146" s="415"/>
      <c r="E146" s="285" t="s">
        <v>72</v>
      </c>
      <c r="F146" s="288">
        <f>F143*850</f>
        <v>0.16134884390109189</v>
      </c>
      <c r="G146" s="288">
        <f t="shared" ref="G146:AH146" si="153">G143*850</f>
        <v>0.65177437940252791</v>
      </c>
      <c r="H146" s="288">
        <f t="shared" si="153"/>
        <v>1.5161739203256617</v>
      </c>
      <c r="I146" s="288">
        <f t="shared" si="153"/>
        <v>0.21923034335574268</v>
      </c>
      <c r="J146" s="288">
        <f t="shared" si="153"/>
        <v>-0.40514452390117178</v>
      </c>
      <c r="K146" s="288">
        <f t="shared" si="153"/>
        <v>0.59212936883674228</v>
      </c>
      <c r="L146" s="288">
        <f t="shared" si="153"/>
        <v>-1.1802654204060758</v>
      </c>
      <c r="M146" s="288">
        <f t="shared" si="153"/>
        <v>-1.8806477094577394</v>
      </c>
      <c r="N146" s="288">
        <f t="shared" si="153"/>
        <v>-1.3991348578955958</v>
      </c>
      <c r="O146" s="288">
        <f t="shared" si="153"/>
        <v>0.71190265166185351</v>
      </c>
      <c r="P146" s="288">
        <f t="shared" si="153"/>
        <v>0.70698187958350245</v>
      </c>
      <c r="Q146" s="288">
        <f t="shared" si="153"/>
        <v>0.54297602912103704</v>
      </c>
      <c r="R146" s="288">
        <f t="shared" si="153"/>
        <v>-0.13337775309835742</v>
      </c>
      <c r="S146" s="288">
        <f t="shared" si="153"/>
        <v>0.11037752339124324</v>
      </c>
      <c r="T146" s="288">
        <f t="shared" si="153"/>
        <v>0.14128079354335729</v>
      </c>
      <c r="U146" s="288">
        <f t="shared" si="153"/>
        <v>-2.1522326270244974</v>
      </c>
      <c r="V146" s="288">
        <f t="shared" si="153"/>
        <v>-0.32110919658876574</v>
      </c>
      <c r="W146" s="288">
        <f t="shared" si="153"/>
        <v>-0.10345443556838541</v>
      </c>
      <c r="X146" s="288">
        <f t="shared" si="153"/>
        <v>-0.12687024333211255</v>
      </c>
      <c r="Y146" s="288">
        <f t="shared" si="153"/>
        <v>-0.14804183124781134</v>
      </c>
      <c r="Z146" s="288">
        <f t="shared" si="153"/>
        <v>-0.54001775344797409</v>
      </c>
      <c r="AA146" s="288">
        <f t="shared" si="153"/>
        <v>-0.72115275711821347</v>
      </c>
      <c r="AB146" s="288">
        <f t="shared" si="153"/>
        <v>-0.48435365431493632</v>
      </c>
      <c r="AC146" s="288">
        <f t="shared" si="153"/>
        <v>-0.18730609366517642</v>
      </c>
      <c r="AD146" s="288">
        <f t="shared" si="153"/>
        <v>-0.48442373663715782</v>
      </c>
      <c r="AE146" s="288">
        <f t="shared" si="153"/>
        <v>-0.48863110117249586</v>
      </c>
      <c r="AF146" s="288">
        <f t="shared" si="153"/>
        <v>-0.49225142673452738</v>
      </c>
      <c r="AG146" s="288">
        <f t="shared" si="153"/>
        <v>-0.49620172226707127</v>
      </c>
      <c r="AH146" s="288">
        <f t="shared" si="153"/>
        <v>-0.49966396654779943</v>
      </c>
    </row>
    <row r="147" spans="2:35" ht="19.899999999999999" customHeight="1" thickBot="1" x14ac:dyDescent="0.3">
      <c r="B147" s="401" t="s">
        <v>135</v>
      </c>
      <c r="C147" s="402"/>
      <c r="D147" s="403"/>
      <c r="E147" s="385" t="s">
        <v>60</v>
      </c>
      <c r="F147" s="386">
        <f t="shared" ref="F147:AH147" si="154">IF($E$147="yes",-(F80-E80)*850*(0.15+F143),0)</f>
        <v>-0.95746011632925809</v>
      </c>
      <c r="G147" s="386">
        <f t="shared" si="154"/>
        <v>-0.9611383078455189</v>
      </c>
      <c r="H147" s="386">
        <f t="shared" si="154"/>
        <v>-0.96762130440244243</v>
      </c>
      <c r="I147" s="386">
        <f t="shared" si="154"/>
        <v>-0.95789422757516796</v>
      </c>
      <c r="J147" s="386">
        <f t="shared" si="154"/>
        <v>-0.95321141607074111</v>
      </c>
      <c r="K147" s="386">
        <f t="shared" si="154"/>
        <v>-0.96069097026627548</v>
      </c>
      <c r="L147" s="386">
        <f t="shared" si="154"/>
        <v>-0.9473980093469544</v>
      </c>
      <c r="M147" s="386">
        <f t="shared" si="154"/>
        <v>-0.94214514217906686</v>
      </c>
      <c r="N147" s="386">
        <f t="shared" si="154"/>
        <v>-0.94575648856578376</v>
      </c>
      <c r="O147" s="386">
        <f t="shared" si="154"/>
        <v>-0.96158926988746474</v>
      </c>
      <c r="P147" s="386">
        <f t="shared" si="154"/>
        <v>-0.96155236409687705</v>
      </c>
      <c r="Q147" s="386">
        <f t="shared" si="154"/>
        <v>-0.96032232021840847</v>
      </c>
      <c r="R147" s="386">
        <f t="shared" si="154"/>
        <v>-0.95524966685176316</v>
      </c>
      <c r="S147" s="386">
        <f t="shared" si="154"/>
        <v>-0.95707783142543512</v>
      </c>
      <c r="T147" s="386">
        <f t="shared" si="154"/>
        <v>-0.95730960595157588</v>
      </c>
      <c r="U147" s="386">
        <f t="shared" si="154"/>
        <v>-0.94010825529731701</v>
      </c>
      <c r="V147" s="386">
        <f t="shared" si="154"/>
        <v>-0.95384168102558498</v>
      </c>
      <c r="W147" s="386">
        <f t="shared" si="154"/>
        <v>-0.95547409173323783</v>
      </c>
      <c r="X147" s="386">
        <f t="shared" si="154"/>
        <v>-0.95529847317500993</v>
      </c>
      <c r="Y147" s="386">
        <f t="shared" si="154"/>
        <v>-0.95513968626564227</v>
      </c>
      <c r="Z147" s="386">
        <f t="shared" si="154"/>
        <v>-0.95219986684914093</v>
      </c>
      <c r="AA147" s="386">
        <f t="shared" si="154"/>
        <v>-0.9508413543216141</v>
      </c>
      <c r="AB147" s="386">
        <f t="shared" si="154"/>
        <v>-0.95261734759263872</v>
      </c>
      <c r="AC147" s="386">
        <f t="shared" si="154"/>
        <v>-0.95484520429751196</v>
      </c>
      <c r="AD147" s="386">
        <f t="shared" si="154"/>
        <v>-0.95261682197522213</v>
      </c>
      <c r="AE147" s="386">
        <f t="shared" si="154"/>
        <v>-0.95258526674120703</v>
      </c>
      <c r="AF147" s="386">
        <f t="shared" si="154"/>
        <v>-0.95255811429949178</v>
      </c>
      <c r="AG147" s="386">
        <f t="shared" si="154"/>
        <v>-0.95252848708299775</v>
      </c>
      <c r="AH147" s="386">
        <f t="shared" si="154"/>
        <v>-0.95250252025089233</v>
      </c>
    </row>
    <row r="148" spans="2:35" ht="33.6" customHeight="1" thickTop="1" x14ac:dyDescent="0.25">
      <c r="B148" s="416" t="s">
        <v>147</v>
      </c>
      <c r="C148" s="417"/>
      <c r="D148" s="417"/>
      <c r="E148" s="387" t="s">
        <v>72</v>
      </c>
      <c r="F148" s="388">
        <f>F146+F147</f>
        <v>-0.79611127242816626</v>
      </c>
      <c r="G148" s="388">
        <f t="shared" ref="G148:AH148" si="155">G146+G147</f>
        <v>-0.30936392844299099</v>
      </c>
      <c r="H148" s="388">
        <f t="shared" si="155"/>
        <v>0.54855261592321924</v>
      </c>
      <c r="I148" s="388">
        <f t="shared" si="155"/>
        <v>-0.7386638842194253</v>
      </c>
      <c r="J148" s="388">
        <f t="shared" si="155"/>
        <v>-1.358355939971913</v>
      </c>
      <c r="K148" s="388">
        <f t="shared" si="155"/>
        <v>-0.3685616014295332</v>
      </c>
      <c r="L148" s="388">
        <f t="shared" si="155"/>
        <v>-2.1276634297530301</v>
      </c>
      <c r="M148" s="388">
        <f t="shared" si="155"/>
        <v>-2.8227928516368062</v>
      </c>
      <c r="N148" s="388">
        <f t="shared" si="155"/>
        <v>-2.3448913464613796</v>
      </c>
      <c r="O148" s="388">
        <f t="shared" si="155"/>
        <v>-0.24968661822561122</v>
      </c>
      <c r="P148" s="388">
        <f t="shared" si="155"/>
        <v>-0.25457048451337461</v>
      </c>
      <c r="Q148" s="388">
        <f t="shared" si="155"/>
        <v>-0.41734629109737142</v>
      </c>
      <c r="R148" s="388">
        <f t="shared" si="155"/>
        <v>-1.0886274199501207</v>
      </c>
      <c r="S148" s="388">
        <f t="shared" si="155"/>
        <v>-0.84670030803419194</v>
      </c>
      <c r="T148" s="388">
        <f t="shared" si="155"/>
        <v>-0.81602881240821856</v>
      </c>
      <c r="U148" s="388">
        <f t="shared" si="155"/>
        <v>-3.0923408823218144</v>
      </c>
      <c r="V148" s="388">
        <f t="shared" si="155"/>
        <v>-1.2749508776143508</v>
      </c>
      <c r="W148" s="388">
        <f t="shared" si="155"/>
        <v>-1.0589285273016231</v>
      </c>
      <c r="X148" s="388">
        <f t="shared" si="155"/>
        <v>-1.0821687165071225</v>
      </c>
      <c r="Y148" s="388">
        <f t="shared" si="155"/>
        <v>-1.1031815175134536</v>
      </c>
      <c r="Z148" s="388">
        <f t="shared" si="155"/>
        <v>-1.4922176202971151</v>
      </c>
      <c r="AA148" s="388">
        <f t="shared" si="155"/>
        <v>-1.6719941114398276</v>
      </c>
      <c r="AB148" s="388">
        <f t="shared" si="155"/>
        <v>-1.436971001907575</v>
      </c>
      <c r="AC148" s="388">
        <f t="shared" si="155"/>
        <v>-1.1421512979626884</v>
      </c>
      <c r="AD148" s="388">
        <f t="shared" si="155"/>
        <v>-1.43704055861238</v>
      </c>
      <c r="AE148" s="388">
        <f t="shared" si="155"/>
        <v>-1.4412163679137029</v>
      </c>
      <c r="AF148" s="388">
        <f t="shared" si="155"/>
        <v>-1.4448095410340192</v>
      </c>
      <c r="AG148" s="388">
        <f t="shared" si="155"/>
        <v>-1.4487302093500691</v>
      </c>
      <c r="AH148" s="389">
        <f t="shared" si="155"/>
        <v>-1.4521664867986916</v>
      </c>
    </row>
    <row r="149" spans="2:35" ht="18" customHeight="1" x14ac:dyDescent="0.25">
      <c r="B149" s="408" t="s">
        <v>141</v>
      </c>
      <c r="C149" s="409"/>
      <c r="D149" s="409"/>
      <c r="E149" s="287"/>
      <c r="F149" s="356">
        <f>AVERAGE(F148:AH148)</f>
        <v>-1.1920579065249428</v>
      </c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390"/>
    </row>
    <row r="150" spans="2:35" ht="16.149999999999999" customHeight="1" thickBot="1" x14ac:dyDescent="0.3">
      <c r="B150" s="410" t="s">
        <v>142</v>
      </c>
      <c r="C150" s="411"/>
      <c r="D150" s="412"/>
      <c r="E150" s="391" t="s">
        <v>72</v>
      </c>
      <c r="F150" s="392">
        <f>F148</f>
        <v>-0.79611127242816626</v>
      </c>
      <c r="G150" s="392">
        <f>F150+G148</f>
        <v>-1.1054752008711572</v>
      </c>
      <c r="H150" s="392">
        <f t="shared" ref="H150:AH150" si="156">G150+H148</f>
        <v>-0.556922584947938</v>
      </c>
      <c r="I150" s="392">
        <f t="shared" si="156"/>
        <v>-1.2955864691673633</v>
      </c>
      <c r="J150" s="392">
        <f t="shared" si="156"/>
        <v>-2.653942409139276</v>
      </c>
      <c r="K150" s="392">
        <f t="shared" si="156"/>
        <v>-3.0225040105688095</v>
      </c>
      <c r="L150" s="392">
        <f t="shared" si="156"/>
        <v>-5.1501674403218392</v>
      </c>
      <c r="M150" s="392">
        <f t="shared" si="156"/>
        <v>-7.9729602919586453</v>
      </c>
      <c r="N150" s="392">
        <f t="shared" si="156"/>
        <v>-10.317851638420025</v>
      </c>
      <c r="O150" s="392">
        <f t="shared" si="156"/>
        <v>-10.567538256645637</v>
      </c>
      <c r="P150" s="392">
        <f t="shared" si="156"/>
        <v>-10.822108741159012</v>
      </c>
      <c r="Q150" s="392">
        <f t="shared" si="156"/>
        <v>-11.239455032256384</v>
      </c>
      <c r="R150" s="392">
        <f t="shared" si="156"/>
        <v>-12.328082452206505</v>
      </c>
      <c r="S150" s="392">
        <f t="shared" si="156"/>
        <v>-13.174782760240697</v>
      </c>
      <c r="T150" s="392">
        <f t="shared" si="156"/>
        <v>-13.990811572648916</v>
      </c>
      <c r="U150" s="392">
        <f t="shared" si="156"/>
        <v>-17.08315245497073</v>
      </c>
      <c r="V150" s="392">
        <f t="shared" si="156"/>
        <v>-18.358103332585081</v>
      </c>
      <c r="W150" s="392">
        <f t="shared" si="156"/>
        <v>-19.417031859886706</v>
      </c>
      <c r="X150" s="392">
        <f t="shared" si="156"/>
        <v>-20.499200576393829</v>
      </c>
      <c r="Y150" s="392">
        <f t="shared" si="156"/>
        <v>-21.602382093907281</v>
      </c>
      <c r="Z150" s="392">
        <f t="shared" si="156"/>
        <v>-23.094599714204396</v>
      </c>
      <c r="AA150" s="392">
        <f t="shared" si="156"/>
        <v>-24.766593825644222</v>
      </c>
      <c r="AB150" s="392">
        <f t="shared" si="156"/>
        <v>-26.203564827551798</v>
      </c>
      <c r="AC150" s="392">
        <f t="shared" si="156"/>
        <v>-27.345716125514485</v>
      </c>
      <c r="AD150" s="392">
        <f t="shared" si="156"/>
        <v>-28.782756684126866</v>
      </c>
      <c r="AE150" s="392">
        <f t="shared" si="156"/>
        <v>-30.22397305204057</v>
      </c>
      <c r="AF150" s="392">
        <f t="shared" si="156"/>
        <v>-31.668782593074589</v>
      </c>
      <c r="AG150" s="392">
        <f t="shared" si="156"/>
        <v>-33.117512802424656</v>
      </c>
      <c r="AH150" s="393">
        <f t="shared" si="156"/>
        <v>-34.569679289223345</v>
      </c>
    </row>
    <row r="151" spans="2:35" ht="24" customHeight="1" thickTop="1" x14ac:dyDescent="0.25"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</row>
    <row r="152" spans="2:35" ht="18.600000000000001" customHeight="1" x14ac:dyDescent="0.25">
      <c r="B152" s="67"/>
      <c r="C152" s="68"/>
      <c r="D152" s="68"/>
      <c r="E152" s="282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</row>
    <row r="153" spans="2:35" ht="34.15" customHeight="1" x14ac:dyDescent="0.25">
      <c r="B153" s="407" t="s">
        <v>140</v>
      </c>
      <c r="C153" s="407"/>
      <c r="D153" s="407"/>
      <c r="E153" s="282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</row>
    <row r="154" spans="2:35" ht="31.15" customHeight="1" x14ac:dyDescent="0.25">
      <c r="B154" s="400" t="s">
        <v>131</v>
      </c>
      <c r="C154" s="400"/>
      <c r="D154" s="400"/>
      <c r="E154" s="285" t="s">
        <v>72</v>
      </c>
      <c r="F154" s="263">
        <f t="shared" ref="F154:AH154" si="157">-SUM(F98:F126)-F98-F107</f>
        <v>-7.2028510604308042E-3</v>
      </c>
      <c r="G154" s="263">
        <f t="shared" si="157"/>
        <v>-6.3294359688382627E-3</v>
      </c>
      <c r="H154" s="263">
        <f t="shared" si="157"/>
        <v>-9.214305933574831E-3</v>
      </c>
      <c r="I154" s="263">
        <f t="shared" si="157"/>
        <v>-8.387504919628419E-3</v>
      </c>
      <c r="J154" s="263">
        <f t="shared" si="157"/>
        <v>-8.2473811098920623E-3</v>
      </c>
      <c r="K154" s="263">
        <f t="shared" si="157"/>
        <v>-8.8343533131338848E-3</v>
      </c>
      <c r="L154" s="263">
        <f t="shared" si="157"/>
        <v>-8.6255750609432157E-3</v>
      </c>
      <c r="M154" s="263">
        <f t="shared" si="157"/>
        <v>-9.3637671082253057E-3</v>
      </c>
      <c r="N154" s="263">
        <f t="shared" si="157"/>
        <v>-9.3343661350870338E-3</v>
      </c>
      <c r="O154" s="263">
        <f t="shared" si="157"/>
        <v>-6.2526512764059638E-3</v>
      </c>
      <c r="P154" s="263">
        <f t="shared" si="157"/>
        <v>-5.4633958067994166E-3</v>
      </c>
      <c r="Q154" s="263">
        <f t="shared" si="157"/>
        <v>-6.1444023538944183E-3</v>
      </c>
      <c r="R154" s="263">
        <f t="shared" si="157"/>
        <v>-6.1934811833934634E-3</v>
      </c>
      <c r="S154" s="263">
        <f t="shared" si="157"/>
        <v>-5.4088093655301544E-3</v>
      </c>
      <c r="T154" s="263">
        <f t="shared" si="157"/>
        <v>-4.8248728345259033E-3</v>
      </c>
      <c r="U154" s="263">
        <f t="shared" si="157"/>
        <v>-5.3719772256223802E-3</v>
      </c>
      <c r="V154" s="263">
        <f t="shared" si="157"/>
        <v>-5.3820956258969601E-3</v>
      </c>
      <c r="W154" s="263">
        <f t="shared" si="157"/>
        <v>-5.3924811202240184E-3</v>
      </c>
      <c r="X154" s="263">
        <f t="shared" si="157"/>
        <v>-5.7038420400667197E-3</v>
      </c>
      <c r="Y154" s="263">
        <f t="shared" si="157"/>
        <v>-5.717139419334407E-3</v>
      </c>
      <c r="Z154" s="263">
        <f t="shared" si="157"/>
        <v>-5.7306931778807451E-3</v>
      </c>
      <c r="AA154" s="263">
        <f t="shared" si="157"/>
        <v>-5.7444999196483611E-3</v>
      </c>
      <c r="AB154" s="263">
        <f t="shared" si="157"/>
        <v>-5.7585562940898789E-3</v>
      </c>
      <c r="AC154" s="263">
        <f t="shared" si="157"/>
        <v>-6.1355589544865603E-3</v>
      </c>
      <c r="AD154" s="263">
        <f t="shared" si="157"/>
        <v>-6.152873965005903E-3</v>
      </c>
      <c r="AE154" s="263">
        <f t="shared" si="157"/>
        <v>-6.1704285666600821E-3</v>
      </c>
      <c r="AF154" s="263">
        <f t="shared" si="157"/>
        <v>-6.1882195883915057E-3</v>
      </c>
      <c r="AG154" s="263">
        <f t="shared" si="157"/>
        <v>-6.2062439016098538E-3</v>
      </c>
      <c r="AH154" s="263">
        <f t="shared" si="157"/>
        <v>-6.5249818079656735E-3</v>
      </c>
    </row>
    <row r="155" spans="2:35" ht="32.450000000000003" customHeight="1" x14ac:dyDescent="0.25">
      <c r="B155" s="400" t="s">
        <v>132</v>
      </c>
      <c r="C155" s="400"/>
      <c r="D155" s="400"/>
      <c r="E155" s="285" t="s">
        <v>72</v>
      </c>
      <c r="F155" s="286">
        <f>F154*850</f>
        <v>-6.1224234013661833</v>
      </c>
      <c r="G155" s="286">
        <f t="shared" ref="G155:AH155" si="158">G154*850</f>
        <v>-5.3800205735125228</v>
      </c>
      <c r="H155" s="286">
        <f t="shared" si="158"/>
        <v>-7.8321600435386065</v>
      </c>
      <c r="I155" s="286">
        <f t="shared" si="158"/>
        <v>-7.1293791816841559</v>
      </c>
      <c r="J155" s="286">
        <f t="shared" si="158"/>
        <v>-7.0102739434082526</v>
      </c>
      <c r="K155" s="286">
        <f t="shared" si="158"/>
        <v>-7.5092003161638017</v>
      </c>
      <c r="L155" s="286">
        <f t="shared" si="158"/>
        <v>-7.3317388018017331</v>
      </c>
      <c r="M155" s="286">
        <f t="shared" si="158"/>
        <v>-7.9592020419915102</v>
      </c>
      <c r="N155" s="286">
        <f t="shared" si="158"/>
        <v>-7.9342112148239785</v>
      </c>
      <c r="O155" s="286">
        <f t="shared" si="158"/>
        <v>-5.3147535849450689</v>
      </c>
      <c r="P155" s="286">
        <f t="shared" si="158"/>
        <v>-4.6438864357795042</v>
      </c>
      <c r="Q155" s="286">
        <f t="shared" si="158"/>
        <v>-5.2227420008102552</v>
      </c>
      <c r="R155" s="286">
        <f t="shared" si="158"/>
        <v>-5.2644590058844436</v>
      </c>
      <c r="S155" s="286">
        <f t="shared" si="158"/>
        <v>-4.5974879607006311</v>
      </c>
      <c r="T155" s="286">
        <f t="shared" si="158"/>
        <v>-4.1011419093470174</v>
      </c>
      <c r="U155" s="286">
        <f t="shared" si="158"/>
        <v>-4.5661806417790229</v>
      </c>
      <c r="V155" s="286">
        <f t="shared" si="158"/>
        <v>-4.5747812820124159</v>
      </c>
      <c r="W155" s="286">
        <f t="shared" si="158"/>
        <v>-4.5836089521904153</v>
      </c>
      <c r="X155" s="286">
        <f t="shared" si="158"/>
        <v>-4.8482657340567119</v>
      </c>
      <c r="Y155" s="286">
        <f t="shared" si="158"/>
        <v>-4.859568506434246</v>
      </c>
      <c r="Z155" s="286">
        <f t="shared" si="158"/>
        <v>-4.8710892011986333</v>
      </c>
      <c r="AA155" s="286">
        <f t="shared" si="158"/>
        <v>-4.8828249317011068</v>
      </c>
      <c r="AB155" s="286">
        <f t="shared" si="158"/>
        <v>-4.8947728499763974</v>
      </c>
      <c r="AC155" s="286">
        <f t="shared" si="158"/>
        <v>-5.2152251113135764</v>
      </c>
      <c r="AD155" s="286">
        <f t="shared" si="158"/>
        <v>-5.2299428702550177</v>
      </c>
      <c r="AE155" s="286">
        <f t="shared" si="158"/>
        <v>-5.2448642816610693</v>
      </c>
      <c r="AF155" s="286">
        <f t="shared" si="158"/>
        <v>-5.2599866501327801</v>
      </c>
      <c r="AG155" s="286">
        <f t="shared" si="158"/>
        <v>-5.2753073163683757</v>
      </c>
      <c r="AH155" s="286">
        <f t="shared" si="158"/>
        <v>-5.5462345367708226</v>
      </c>
    </row>
    <row r="156" spans="2:35" ht="19.899999999999999" customHeight="1" thickBot="1" x14ac:dyDescent="0.3">
      <c r="B156" s="67"/>
      <c r="C156" s="68"/>
      <c r="D156" s="68"/>
      <c r="E156" s="77"/>
      <c r="F156" s="277">
        <f>SUM(F155:AH155)</f>
        <v>-163.20573328160827</v>
      </c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</row>
    <row r="157" spans="2:35" ht="19.899999999999999" customHeight="1" thickTop="1" x14ac:dyDescent="0.3">
      <c r="B157" s="413" t="s">
        <v>143</v>
      </c>
      <c r="C157" s="414"/>
      <c r="D157" s="414"/>
      <c r="E157" s="394"/>
      <c r="F157" s="394">
        <f t="shared" ref="F157:AH157" si="159">F148+F155</f>
        <v>-6.9185346737943494</v>
      </c>
      <c r="G157" s="394">
        <f t="shared" si="159"/>
        <v>-5.689384501955514</v>
      </c>
      <c r="H157" s="394">
        <f t="shared" si="159"/>
        <v>-7.2836074276153875</v>
      </c>
      <c r="I157" s="394">
        <f t="shared" si="159"/>
        <v>-7.8680430659035814</v>
      </c>
      <c r="J157" s="394">
        <f t="shared" si="159"/>
        <v>-8.3686298833801658</v>
      </c>
      <c r="K157" s="394">
        <f t="shared" si="159"/>
        <v>-7.8777619175933351</v>
      </c>
      <c r="L157" s="394">
        <f t="shared" si="159"/>
        <v>-9.4594022315547637</v>
      </c>
      <c r="M157" s="394">
        <f t="shared" si="159"/>
        <v>-10.781994893628315</v>
      </c>
      <c r="N157" s="394">
        <f t="shared" si="159"/>
        <v>-10.279102561285358</v>
      </c>
      <c r="O157" s="394">
        <f t="shared" si="159"/>
        <v>-5.5644402031706797</v>
      </c>
      <c r="P157" s="394">
        <f t="shared" si="159"/>
        <v>-4.8984569202928787</v>
      </c>
      <c r="Q157" s="394">
        <f t="shared" si="159"/>
        <v>-5.6400882919076265</v>
      </c>
      <c r="R157" s="394">
        <f t="shared" si="159"/>
        <v>-6.3530864258345643</v>
      </c>
      <c r="S157" s="394">
        <f t="shared" si="159"/>
        <v>-5.4441882687348233</v>
      </c>
      <c r="T157" s="394">
        <f t="shared" si="159"/>
        <v>-4.9171707217552356</v>
      </c>
      <c r="U157" s="394">
        <f t="shared" si="159"/>
        <v>-7.6585215241008378</v>
      </c>
      <c r="V157" s="394">
        <f t="shared" si="159"/>
        <v>-5.8497321596267664</v>
      </c>
      <c r="W157" s="394">
        <f t="shared" si="159"/>
        <v>-5.642537479492038</v>
      </c>
      <c r="X157" s="394">
        <f t="shared" si="159"/>
        <v>-5.9304344505638342</v>
      </c>
      <c r="Y157" s="394">
        <f t="shared" si="159"/>
        <v>-5.9627500239476996</v>
      </c>
      <c r="Z157" s="394">
        <f t="shared" si="159"/>
        <v>-6.3633068214957484</v>
      </c>
      <c r="AA157" s="394">
        <f t="shared" si="159"/>
        <v>-6.5548190431409346</v>
      </c>
      <c r="AB157" s="394">
        <f t="shared" si="159"/>
        <v>-6.3317438518839726</v>
      </c>
      <c r="AC157" s="394">
        <f t="shared" si="159"/>
        <v>-6.3573764092762648</v>
      </c>
      <c r="AD157" s="394">
        <f t="shared" si="159"/>
        <v>-6.6669834288673977</v>
      </c>
      <c r="AE157" s="394">
        <f t="shared" si="159"/>
        <v>-6.6860806495747722</v>
      </c>
      <c r="AF157" s="394">
        <f t="shared" si="159"/>
        <v>-6.7047961911667997</v>
      </c>
      <c r="AG157" s="394">
        <f t="shared" si="159"/>
        <v>-6.7240375257184448</v>
      </c>
      <c r="AH157" s="395">
        <f t="shared" si="159"/>
        <v>-6.9984010235695138</v>
      </c>
    </row>
    <row r="158" spans="2:35" ht="19.899999999999999" customHeight="1" x14ac:dyDescent="0.25">
      <c r="B158" s="408" t="s">
        <v>141</v>
      </c>
      <c r="C158" s="409"/>
      <c r="D158" s="409"/>
      <c r="E158" s="287"/>
      <c r="F158" s="356">
        <f>AVERAGE(F157:AH157)</f>
        <v>-6.8198418127872955</v>
      </c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390"/>
    </row>
    <row r="159" spans="2:35" ht="16.5" thickBot="1" x14ac:dyDescent="0.3">
      <c r="B159" s="410" t="s">
        <v>142</v>
      </c>
      <c r="C159" s="411"/>
      <c r="D159" s="412"/>
      <c r="E159" s="391" t="s">
        <v>72</v>
      </c>
      <c r="F159" s="392">
        <f>F157</f>
        <v>-6.9185346737943494</v>
      </c>
      <c r="G159" s="392">
        <f>F159+G157</f>
        <v>-12.607919175749863</v>
      </c>
      <c r="H159" s="392">
        <f t="shared" ref="H159" si="160">G159+H157</f>
        <v>-19.89152660336525</v>
      </c>
      <c r="I159" s="392">
        <f t="shared" ref="I159" si="161">H159+I157</f>
        <v>-27.759569669268831</v>
      </c>
      <c r="J159" s="392">
        <f t="shared" ref="J159" si="162">I159+J157</f>
        <v>-36.128199552648994</v>
      </c>
      <c r="K159" s="392">
        <f t="shared" ref="K159" si="163">J159+K157</f>
        <v>-44.005961470242326</v>
      </c>
      <c r="L159" s="392">
        <f t="shared" ref="L159" si="164">K159+L157</f>
        <v>-53.465363701797088</v>
      </c>
      <c r="M159" s="392">
        <f t="shared" ref="M159" si="165">L159+M157</f>
        <v>-64.247358595425396</v>
      </c>
      <c r="N159" s="392">
        <f t="shared" ref="N159" si="166">M159+N157</f>
        <v>-74.526461156710752</v>
      </c>
      <c r="O159" s="392">
        <f t="shared" ref="O159" si="167">N159+O157</f>
        <v>-80.090901359881428</v>
      </c>
      <c r="P159" s="392">
        <f t="shared" ref="P159" si="168">O159+P157</f>
        <v>-84.989358280174301</v>
      </c>
      <c r="Q159" s="392">
        <f t="shared" ref="Q159" si="169">P159+Q157</f>
        <v>-90.629446572081932</v>
      </c>
      <c r="R159" s="392">
        <f t="shared" ref="R159" si="170">Q159+R157</f>
        <v>-96.982532997916493</v>
      </c>
      <c r="S159" s="392">
        <f t="shared" ref="S159" si="171">R159+S157</f>
        <v>-102.42672126665131</v>
      </c>
      <c r="T159" s="392">
        <f t="shared" ref="T159" si="172">S159+T157</f>
        <v>-107.34389198840655</v>
      </c>
      <c r="U159" s="392">
        <f t="shared" ref="U159" si="173">T159+U157</f>
        <v>-115.00241351250739</v>
      </c>
      <c r="V159" s="392">
        <f t="shared" ref="V159" si="174">U159+V157</f>
        <v>-120.85214567213416</v>
      </c>
      <c r="W159" s="392">
        <f t="shared" ref="W159" si="175">V159+W157</f>
        <v>-126.49468315162619</v>
      </c>
      <c r="X159" s="392">
        <f t="shared" ref="X159" si="176">W159+X157</f>
        <v>-132.42511760219003</v>
      </c>
      <c r="Y159" s="392">
        <f t="shared" ref="Y159" si="177">X159+Y157</f>
        <v>-138.38786762613773</v>
      </c>
      <c r="Z159" s="392">
        <f t="shared" ref="Z159" si="178">Y159+Z157</f>
        <v>-144.75117444763347</v>
      </c>
      <c r="AA159" s="392">
        <f t="shared" ref="AA159" si="179">Z159+AA157</f>
        <v>-151.3059934907744</v>
      </c>
      <c r="AB159" s="392">
        <f t="shared" ref="AB159" si="180">AA159+AB157</f>
        <v>-157.63773734265837</v>
      </c>
      <c r="AC159" s="392">
        <f t="shared" ref="AC159" si="181">AB159+AC157</f>
        <v>-163.99511375193464</v>
      </c>
      <c r="AD159" s="392">
        <f t="shared" ref="AD159" si="182">AC159+AD157</f>
        <v>-170.66209718080205</v>
      </c>
      <c r="AE159" s="392">
        <f t="shared" ref="AE159" si="183">AD159+AE157</f>
        <v>-177.34817783037681</v>
      </c>
      <c r="AF159" s="392">
        <f t="shared" ref="AF159" si="184">AE159+AF157</f>
        <v>-184.0529740215436</v>
      </c>
      <c r="AG159" s="392">
        <f t="shared" ref="AG159" si="185">AF159+AG157</f>
        <v>-190.77701154726205</v>
      </c>
      <c r="AH159" s="393">
        <f t="shared" ref="AH159" si="186">AG159+AH157</f>
        <v>-197.77541257083158</v>
      </c>
    </row>
    <row r="160" spans="2:35" ht="16.5" thickTop="1" x14ac:dyDescent="0.25">
      <c r="B160" s="368"/>
      <c r="C160" s="368"/>
      <c r="D160" s="368"/>
      <c r="E160" s="369"/>
      <c r="F160" s="356"/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</row>
    <row r="161" spans="2:34" ht="15.75" x14ac:dyDescent="0.25">
      <c r="B161" s="32" t="s">
        <v>51</v>
      </c>
      <c r="C161" s="68"/>
      <c r="D161" s="68"/>
      <c r="E161" s="68"/>
      <c r="F161" s="68"/>
      <c r="G161" s="68"/>
      <c r="H161" s="68"/>
      <c r="I161" s="83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2:34" x14ac:dyDescent="0.25">
      <c r="B162" s="31" t="s">
        <v>153</v>
      </c>
    </row>
    <row r="163" spans="2:34" x14ac:dyDescent="0.25">
      <c r="B163" s="31" t="s">
        <v>148</v>
      </c>
    </row>
    <row r="164" spans="2:34" x14ac:dyDescent="0.25">
      <c r="B164" s="31" t="s">
        <v>149</v>
      </c>
      <c r="C164" s="49"/>
    </row>
    <row r="165" spans="2:34" x14ac:dyDescent="0.25">
      <c r="B165" s="31" t="s">
        <v>156</v>
      </c>
      <c r="C165" s="49"/>
    </row>
    <row r="166" spans="2:34" x14ac:dyDescent="0.25">
      <c r="B166" s="370" t="s">
        <v>152</v>
      </c>
      <c r="C166" s="49"/>
    </row>
    <row r="167" spans="2:34" x14ac:dyDescent="0.25">
      <c r="B167" s="31" t="s">
        <v>158</v>
      </c>
      <c r="C167" s="49"/>
    </row>
    <row r="168" spans="2:34" x14ac:dyDescent="0.25">
      <c r="B168" s="26"/>
    </row>
    <row r="169" spans="2:34" x14ac:dyDescent="0.25">
      <c r="B169" s="26"/>
    </row>
    <row r="170" spans="2:34" x14ac:dyDescent="0.25">
      <c r="B170" s="26"/>
    </row>
    <row r="171" spans="2:34" x14ac:dyDescent="0.25">
      <c r="B171" s="26"/>
    </row>
  </sheetData>
  <mergeCells count="20">
    <mergeCell ref="B158:D158"/>
    <mergeCell ref="B159:D159"/>
    <mergeCell ref="B157:D157"/>
    <mergeCell ref="B146:D146"/>
    <mergeCell ref="B148:D148"/>
    <mergeCell ref="B141:D141"/>
    <mergeCell ref="B154:D154"/>
    <mergeCell ref="B155:D155"/>
    <mergeCell ref="B147:D147"/>
    <mergeCell ref="B142:D142"/>
    <mergeCell ref="B143:D143"/>
    <mergeCell ref="B153:D153"/>
    <mergeCell ref="B149:D149"/>
    <mergeCell ref="B150:D150"/>
    <mergeCell ref="E91:F91"/>
    <mergeCell ref="B88:C88"/>
    <mergeCell ref="B89:C89"/>
    <mergeCell ref="B90:C90"/>
    <mergeCell ref="B92:C92"/>
    <mergeCell ref="B91:C9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topLeftCell="A119" zoomScale="80" zoomScaleNormal="80" workbookViewId="0">
      <selection activeCell="A150" sqref="A150"/>
    </sheetView>
  </sheetViews>
  <sheetFormatPr defaultRowHeight="15" x14ac:dyDescent="0.25"/>
  <cols>
    <col min="1" max="1" width="0.5703125" customWidth="1"/>
    <col min="2" max="2" width="52" customWidth="1"/>
    <col min="3" max="3" width="12.7109375" customWidth="1"/>
    <col min="4" max="4" width="13.28515625" customWidth="1"/>
    <col min="5" max="5" width="11.42578125" customWidth="1"/>
    <col min="6" max="6" width="11.7109375" customWidth="1"/>
    <col min="7" max="11" width="12.85546875" customWidth="1"/>
    <col min="12" max="34" width="11.7109375" customWidth="1"/>
    <col min="35" max="35" width="9.5703125" bestFit="1" customWidth="1"/>
    <col min="36" max="36" width="10.5703125" bestFit="1" customWidth="1"/>
  </cols>
  <sheetData>
    <row r="1" spans="2:16" ht="21" x14ac:dyDescent="0.35">
      <c r="D1" s="36" t="s">
        <v>161</v>
      </c>
    </row>
    <row r="2" spans="2:16" ht="21" x14ac:dyDescent="0.35">
      <c r="D2" s="384" t="s">
        <v>162</v>
      </c>
    </row>
    <row r="3" spans="2:16" ht="15.6" customHeight="1" x14ac:dyDescent="0.35">
      <c r="D3" s="383" t="s">
        <v>159</v>
      </c>
    </row>
    <row r="4" spans="2:16" x14ac:dyDescent="0.25">
      <c r="D4" s="75" t="s">
        <v>33</v>
      </c>
      <c r="G4" t="s">
        <v>30</v>
      </c>
      <c r="H4" s="74">
        <v>44343</v>
      </c>
    </row>
    <row r="6" spans="2:16" ht="18.75" x14ac:dyDescent="0.3">
      <c r="B6" s="69" t="s">
        <v>34</v>
      </c>
      <c r="D6" s="26"/>
    </row>
    <row r="7" spans="2:16" ht="18.75" x14ac:dyDescent="0.3">
      <c r="B7" s="89" t="s">
        <v>160</v>
      </c>
      <c r="D7" s="26"/>
    </row>
    <row r="8" spans="2:16" ht="18.75" x14ac:dyDescent="0.3">
      <c r="B8" s="88" t="s">
        <v>35</v>
      </c>
      <c r="D8" s="88" t="s">
        <v>39</v>
      </c>
    </row>
    <row r="9" spans="2:16" ht="18.75" x14ac:dyDescent="0.3">
      <c r="B9" s="88" t="s">
        <v>36</v>
      </c>
      <c r="D9" s="88" t="s">
        <v>40</v>
      </c>
    </row>
    <row r="10" spans="2:16" ht="18.75" x14ac:dyDescent="0.3">
      <c r="B10" s="88" t="s">
        <v>37</v>
      </c>
      <c r="D10" s="88" t="s">
        <v>41</v>
      </c>
    </row>
    <row r="11" spans="2:16" ht="18.75" x14ac:dyDescent="0.3">
      <c r="B11" s="88" t="s">
        <v>38</v>
      </c>
      <c r="D11" s="88" t="s">
        <v>42</v>
      </c>
    </row>
    <row r="12" spans="2:16" ht="18.75" x14ac:dyDescent="0.3">
      <c r="B12" s="88"/>
    </row>
    <row r="13" spans="2:16" x14ac:dyDescent="0.25">
      <c r="C13" s="26"/>
      <c r="G13" s="5"/>
      <c r="H13" s="5"/>
      <c r="I13" s="5"/>
      <c r="J13" s="5"/>
      <c r="K13" s="5"/>
      <c r="L13" s="5"/>
      <c r="M13" s="5"/>
      <c r="N13" s="5"/>
    </row>
    <row r="14" spans="2:16" ht="21" x14ac:dyDescent="0.35">
      <c r="B14" s="166" t="s">
        <v>116</v>
      </c>
      <c r="C14" s="26"/>
      <c r="G14" s="5"/>
      <c r="H14" s="371"/>
      <c r="I14" s="372"/>
      <c r="J14" s="372"/>
      <c r="K14" s="372"/>
      <c r="L14" s="5"/>
      <c r="M14" s="5"/>
      <c r="N14" s="5"/>
    </row>
    <row r="15" spans="2:16" ht="18" x14ac:dyDescent="0.3">
      <c r="B15" s="144" t="s">
        <v>10</v>
      </c>
      <c r="C15" s="37">
        <f>10081522000/1000000</f>
        <v>10081.522000000001</v>
      </c>
      <c r="D15" s="31"/>
      <c r="G15" s="5"/>
      <c r="H15" s="373"/>
      <c r="I15" s="373"/>
      <c r="J15" s="373"/>
      <c r="K15" s="373"/>
      <c r="L15" s="374"/>
      <c r="M15" s="374"/>
      <c r="N15" s="25"/>
      <c r="O15" s="25"/>
      <c r="P15" s="78"/>
    </row>
    <row r="16" spans="2:16" ht="15.75" x14ac:dyDescent="0.25">
      <c r="B16" s="144" t="s">
        <v>15</v>
      </c>
      <c r="C16" s="38">
        <v>73.7</v>
      </c>
      <c r="D16" s="31"/>
      <c r="G16" s="5"/>
      <c r="H16" s="375"/>
      <c r="I16" s="375"/>
      <c r="J16" s="375"/>
      <c r="K16" s="375"/>
      <c r="L16" s="376"/>
      <c r="M16" s="376"/>
      <c r="N16" s="79"/>
      <c r="O16" s="79"/>
      <c r="P16" s="78"/>
    </row>
    <row r="17" spans="2:21" ht="18.75" x14ac:dyDescent="0.3">
      <c r="B17" s="145" t="s">
        <v>12</v>
      </c>
      <c r="C17" s="39">
        <v>0.01</v>
      </c>
      <c r="D17" s="31"/>
      <c r="G17" s="5"/>
      <c r="H17" s="377"/>
      <c r="I17" s="377"/>
      <c r="J17" s="377"/>
      <c r="K17" s="377"/>
      <c r="L17" s="378"/>
      <c r="M17" s="378"/>
      <c r="N17" s="79"/>
      <c r="O17" s="79"/>
      <c r="P17" s="78"/>
    </row>
    <row r="18" spans="2:21" ht="18.75" x14ac:dyDescent="0.3">
      <c r="B18" s="145" t="s">
        <v>93</v>
      </c>
      <c r="C18" s="92">
        <v>0</v>
      </c>
      <c r="D18" s="31"/>
      <c r="G18" s="5"/>
      <c r="H18" s="379"/>
      <c r="I18" s="380"/>
      <c r="J18" s="381"/>
      <c r="K18" s="380"/>
      <c r="L18" s="382"/>
      <c r="M18" s="382"/>
      <c r="N18" s="79"/>
      <c r="O18" s="79"/>
    </row>
    <row r="19" spans="2:21" ht="15.75" x14ac:dyDescent="0.25">
      <c r="B19" s="145" t="s">
        <v>20</v>
      </c>
      <c r="C19" s="40">
        <v>0.88</v>
      </c>
      <c r="D19" s="31"/>
      <c r="G19" s="5"/>
      <c r="H19" s="5"/>
      <c r="I19" s="5"/>
      <c r="J19" s="5"/>
      <c r="K19" s="79"/>
      <c r="L19" s="79"/>
      <c r="M19" s="79"/>
      <c r="N19" s="79"/>
      <c r="O19" s="79"/>
    </row>
    <row r="20" spans="2:21" ht="15.75" x14ac:dyDescent="0.25">
      <c r="B20" s="145" t="s">
        <v>18</v>
      </c>
      <c r="C20" s="41">
        <v>6.5</v>
      </c>
      <c r="D20" s="31"/>
      <c r="E20" s="71"/>
      <c r="F20" s="71"/>
      <c r="G20" s="71"/>
      <c r="H20" s="25"/>
      <c r="I20" s="25"/>
      <c r="J20" s="25"/>
      <c r="K20" s="25"/>
      <c r="L20" s="25"/>
      <c r="M20" s="25"/>
      <c r="N20" s="25"/>
      <c r="O20" s="25"/>
    </row>
    <row r="21" spans="2:21" ht="15.75" x14ac:dyDescent="0.25">
      <c r="B21" s="145" t="s">
        <v>13</v>
      </c>
      <c r="C21" s="39">
        <v>0.01</v>
      </c>
      <c r="D21" s="31"/>
      <c r="E21" s="31"/>
      <c r="F21" s="31"/>
      <c r="G21" s="31"/>
      <c r="U21" s="19"/>
    </row>
    <row r="22" spans="2:21" ht="15.75" x14ac:dyDescent="0.25">
      <c r="B22" s="145" t="s">
        <v>14</v>
      </c>
      <c r="C22" s="40">
        <v>7.0000000000000007E-2</v>
      </c>
      <c r="D22" s="31"/>
      <c r="E22" s="31"/>
      <c r="F22" s="31"/>
      <c r="G22" s="31"/>
    </row>
    <row r="23" spans="2:21" ht="15.75" x14ac:dyDescent="0.25">
      <c r="B23" s="145" t="s">
        <v>73</v>
      </c>
      <c r="C23" s="167">
        <v>0.04</v>
      </c>
      <c r="D23" s="31"/>
      <c r="E23" s="31"/>
      <c r="G23" s="31"/>
      <c r="U23" s="149"/>
    </row>
    <row r="24" spans="2:21" ht="15.75" x14ac:dyDescent="0.25">
      <c r="B24" s="145"/>
      <c r="C24" s="153">
        <v>2020</v>
      </c>
      <c r="D24" s="31">
        <v>2025</v>
      </c>
      <c r="E24" s="31">
        <v>2030</v>
      </c>
      <c r="F24" s="31">
        <v>2035</v>
      </c>
      <c r="G24" s="31">
        <v>2040</v>
      </c>
      <c r="H24" s="71">
        <v>2045</v>
      </c>
      <c r="I24" s="71">
        <v>2050</v>
      </c>
      <c r="U24" s="149"/>
    </row>
    <row r="25" spans="2:21" ht="18.75" x14ac:dyDescent="0.35">
      <c r="B25" s="145" t="s">
        <v>94</v>
      </c>
      <c r="C25" s="122">
        <v>76</v>
      </c>
      <c r="D25" s="155">
        <v>83</v>
      </c>
      <c r="E25" s="155">
        <v>89</v>
      </c>
      <c r="F25" s="38">
        <v>96</v>
      </c>
      <c r="G25" s="38">
        <v>103</v>
      </c>
      <c r="H25" s="38">
        <v>110</v>
      </c>
      <c r="I25" s="38">
        <v>116</v>
      </c>
      <c r="J25" s="31" t="s">
        <v>150</v>
      </c>
      <c r="U25" s="148"/>
    </row>
    <row r="26" spans="2:21" ht="18.75" x14ac:dyDescent="0.35">
      <c r="B26" s="145" t="s">
        <v>95</v>
      </c>
      <c r="C26" s="152">
        <f>C25*0.547</f>
        <v>41.572000000000003</v>
      </c>
      <c r="D26" s="152">
        <f t="shared" ref="D26:I26" si="0">D25*0.547</f>
        <v>45.401000000000003</v>
      </c>
      <c r="E26" s="152">
        <f t="shared" si="0"/>
        <v>48.683000000000007</v>
      </c>
      <c r="F26" s="152">
        <f t="shared" si="0"/>
        <v>52.512</v>
      </c>
      <c r="G26" s="152">
        <f t="shared" si="0"/>
        <v>56.341000000000001</v>
      </c>
      <c r="H26" s="152">
        <f t="shared" si="0"/>
        <v>60.17</v>
      </c>
      <c r="I26" s="152">
        <f t="shared" si="0"/>
        <v>63.452000000000005</v>
      </c>
    </row>
    <row r="27" spans="2:21" ht="17.25" x14ac:dyDescent="0.25">
      <c r="B27" s="145" t="s">
        <v>96</v>
      </c>
      <c r="C27" s="122">
        <f>2000*86/34</f>
        <v>5058.8235294117649</v>
      </c>
      <c r="D27" s="122">
        <f>2200*86/34</f>
        <v>5564.7058823529414</v>
      </c>
      <c r="E27" s="122">
        <f>2500*86/34</f>
        <v>6323.5294117647063</v>
      </c>
      <c r="F27" s="122">
        <f>2800*86/34</f>
        <v>7082.3529411764703</v>
      </c>
      <c r="G27" s="122">
        <f>3100*86/34</f>
        <v>7841.1764705882351</v>
      </c>
      <c r="H27" s="122">
        <f>3500*86/34</f>
        <v>8852.9411764705874</v>
      </c>
      <c r="I27" s="122">
        <f>3800*86/34</f>
        <v>9611.7647058823532</v>
      </c>
      <c r="J27" s="31" t="s">
        <v>154</v>
      </c>
    </row>
    <row r="28" spans="2:21" ht="15.75" x14ac:dyDescent="0.25">
      <c r="B28" s="145" t="s">
        <v>109</v>
      </c>
      <c r="C28" s="152">
        <f>C27*Calculations!$C$109</f>
        <v>23.585682907463386</v>
      </c>
      <c r="D28" s="152">
        <f>D27*Calculations!$C$109</f>
        <v>25.944251198209724</v>
      </c>
      <c r="E28" s="152">
        <f>E27*Calculations!$C$109</f>
        <v>29.482103634329235</v>
      </c>
      <c r="F28" s="152">
        <f>F27*Calculations!$C$109</f>
        <v>33.019956070448735</v>
      </c>
      <c r="G28" s="152">
        <f>G27*Calculations!$C$109</f>
        <v>36.557808506568243</v>
      </c>
      <c r="H28" s="152">
        <f>H27*Calculations!$C$109</f>
        <v>41.274945088060917</v>
      </c>
      <c r="I28" s="152">
        <f>I27*Calculations!$C$109</f>
        <v>44.812797524180432</v>
      </c>
    </row>
    <row r="29" spans="2:21" ht="15.75" x14ac:dyDescent="0.25">
      <c r="B29" s="145" t="s">
        <v>74</v>
      </c>
      <c r="C29" s="154">
        <v>41</v>
      </c>
      <c r="D29" s="31"/>
      <c r="E29" s="31"/>
      <c r="F29" s="31"/>
      <c r="G29" s="31"/>
      <c r="J29" t="s">
        <v>164</v>
      </c>
    </row>
    <row r="30" spans="2:21" x14ac:dyDescent="0.25">
      <c r="D30" s="31"/>
      <c r="E30" s="31"/>
      <c r="F30" s="31"/>
      <c r="G30" s="31"/>
    </row>
    <row r="31" spans="2:21" x14ac:dyDescent="0.25">
      <c r="B31" s="71"/>
      <c r="C31" s="33"/>
      <c r="D31" s="31"/>
      <c r="E31" s="31"/>
      <c r="F31" s="31"/>
      <c r="G31" s="31"/>
    </row>
    <row r="32" spans="2:21" ht="21" x14ac:dyDescent="0.35">
      <c r="B32" s="139" t="s">
        <v>49</v>
      </c>
      <c r="C32" s="33"/>
      <c r="D32" s="31"/>
      <c r="E32" s="31"/>
      <c r="F32" s="96"/>
      <c r="G32" s="31"/>
    </row>
    <row r="33" spans="2:36" ht="16.5" thickBot="1" x14ac:dyDescent="0.3">
      <c r="B33" s="94" t="s">
        <v>67</v>
      </c>
      <c r="C33" s="33"/>
      <c r="D33" s="31"/>
      <c r="E33" s="31"/>
      <c r="F33" s="31"/>
      <c r="G33" s="31"/>
    </row>
    <row r="34" spans="2:36" ht="19.5" thickBot="1" x14ac:dyDescent="0.35">
      <c r="B34" s="253" t="s">
        <v>122</v>
      </c>
      <c r="C34" s="121" t="s">
        <v>58</v>
      </c>
      <c r="D34" s="170">
        <v>2020</v>
      </c>
      <c r="E34" s="44">
        <v>2021</v>
      </c>
      <c r="F34" s="42">
        <f t="shared" ref="F34:AH34" si="1">1+E34</f>
        <v>2022</v>
      </c>
      <c r="G34" s="42">
        <f t="shared" si="1"/>
        <v>2023</v>
      </c>
      <c r="H34" s="42">
        <f t="shared" si="1"/>
        <v>2024</v>
      </c>
      <c r="I34" s="42">
        <f t="shared" si="1"/>
        <v>2025</v>
      </c>
      <c r="J34" s="42">
        <f t="shared" si="1"/>
        <v>2026</v>
      </c>
      <c r="K34" s="42">
        <f t="shared" si="1"/>
        <v>2027</v>
      </c>
      <c r="L34" s="42">
        <f t="shared" si="1"/>
        <v>2028</v>
      </c>
      <c r="M34" s="42">
        <f t="shared" si="1"/>
        <v>2029</v>
      </c>
      <c r="N34" s="42">
        <f t="shared" si="1"/>
        <v>2030</v>
      </c>
      <c r="O34" s="42">
        <f t="shared" si="1"/>
        <v>2031</v>
      </c>
      <c r="P34" s="42">
        <f t="shared" si="1"/>
        <v>2032</v>
      </c>
      <c r="Q34" s="42">
        <f t="shared" si="1"/>
        <v>2033</v>
      </c>
      <c r="R34" s="42">
        <f t="shared" si="1"/>
        <v>2034</v>
      </c>
      <c r="S34" s="42">
        <f t="shared" si="1"/>
        <v>2035</v>
      </c>
      <c r="T34" s="42">
        <f t="shared" si="1"/>
        <v>2036</v>
      </c>
      <c r="U34" s="42">
        <f t="shared" si="1"/>
        <v>2037</v>
      </c>
      <c r="V34" s="42">
        <f t="shared" si="1"/>
        <v>2038</v>
      </c>
      <c r="W34" s="42">
        <f t="shared" si="1"/>
        <v>2039</v>
      </c>
      <c r="X34" s="42">
        <f t="shared" si="1"/>
        <v>2040</v>
      </c>
      <c r="Y34" s="42">
        <f t="shared" si="1"/>
        <v>2041</v>
      </c>
      <c r="Z34" s="42">
        <f t="shared" si="1"/>
        <v>2042</v>
      </c>
      <c r="AA34" s="42">
        <f t="shared" si="1"/>
        <v>2043</v>
      </c>
      <c r="AB34" s="42">
        <f t="shared" si="1"/>
        <v>2044</v>
      </c>
      <c r="AC34" s="42">
        <f t="shared" si="1"/>
        <v>2045</v>
      </c>
      <c r="AD34" s="42">
        <f t="shared" si="1"/>
        <v>2046</v>
      </c>
      <c r="AE34" s="42">
        <f t="shared" si="1"/>
        <v>2047</v>
      </c>
      <c r="AF34" s="42">
        <f t="shared" si="1"/>
        <v>2048</v>
      </c>
      <c r="AG34" s="45">
        <f t="shared" si="1"/>
        <v>2049</v>
      </c>
      <c r="AH34" s="45">
        <f t="shared" si="1"/>
        <v>2050</v>
      </c>
      <c r="AI34" s="6"/>
    </row>
    <row r="35" spans="2:36" ht="18.75" x14ac:dyDescent="0.3">
      <c r="B35" s="72" t="s">
        <v>25</v>
      </c>
      <c r="C35" s="103"/>
      <c r="D35" s="171"/>
      <c r="E35" s="29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292"/>
    </row>
    <row r="36" spans="2:36" ht="19.5" thickBot="1" x14ac:dyDescent="0.35">
      <c r="B36" s="43" t="s">
        <v>29</v>
      </c>
      <c r="C36" s="104"/>
      <c r="D36" s="172"/>
      <c r="E36" s="29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294"/>
    </row>
    <row r="37" spans="2:36" x14ac:dyDescent="0.25">
      <c r="B37" s="97" t="s">
        <v>16</v>
      </c>
      <c r="C37" s="105"/>
      <c r="D37" s="173">
        <f>C16</f>
        <v>73.7</v>
      </c>
      <c r="E37" s="295">
        <f t="shared" ref="E37:AH37" si="2">D37*(1+$C$17)</f>
        <v>74.436999999999998</v>
      </c>
      <c r="F37" s="61">
        <f t="shared" si="2"/>
        <v>75.181370000000001</v>
      </c>
      <c r="G37" s="61">
        <f t="shared" si="2"/>
        <v>75.933183700000001</v>
      </c>
      <c r="H37" s="61">
        <f t="shared" si="2"/>
        <v>76.692515537000006</v>
      </c>
      <c r="I37" s="61">
        <f t="shared" si="2"/>
        <v>77.459440692370009</v>
      </c>
      <c r="J37" s="61">
        <f t="shared" si="2"/>
        <v>78.234035099293706</v>
      </c>
      <c r="K37" s="61">
        <f t="shared" si="2"/>
        <v>79.016375450286645</v>
      </c>
      <c r="L37" s="61">
        <f t="shared" si="2"/>
        <v>79.806539204789516</v>
      </c>
      <c r="M37" s="61">
        <f t="shared" si="2"/>
        <v>80.604604596837419</v>
      </c>
      <c r="N37" s="61">
        <f t="shared" si="2"/>
        <v>81.410650642805791</v>
      </c>
      <c r="O37" s="61">
        <f t="shared" si="2"/>
        <v>82.224757149233852</v>
      </c>
      <c r="P37" s="61">
        <f t="shared" si="2"/>
        <v>83.047004720726193</v>
      </c>
      <c r="Q37" s="61">
        <f t="shared" si="2"/>
        <v>83.87747476793345</v>
      </c>
      <c r="R37" s="61">
        <f t="shared" si="2"/>
        <v>84.716249515612787</v>
      </c>
      <c r="S37" s="61">
        <f t="shared" si="2"/>
        <v>85.563412010768914</v>
      </c>
      <c r="T37" s="61">
        <f t="shared" si="2"/>
        <v>86.419046130876609</v>
      </c>
      <c r="U37" s="61">
        <f t="shared" si="2"/>
        <v>87.283236592185375</v>
      </c>
      <c r="V37" s="61">
        <f t="shared" si="2"/>
        <v>88.156068958107227</v>
      </c>
      <c r="W37" s="61">
        <f t="shared" si="2"/>
        <v>89.037629647688306</v>
      </c>
      <c r="X37" s="61">
        <f t="shared" si="2"/>
        <v>89.928005944165193</v>
      </c>
      <c r="Y37" s="61">
        <f t="shared" si="2"/>
        <v>90.827286003606844</v>
      </c>
      <c r="Z37" s="61">
        <f t="shared" si="2"/>
        <v>91.735558863642908</v>
      </c>
      <c r="AA37" s="61">
        <f t="shared" si="2"/>
        <v>92.652914452279333</v>
      </c>
      <c r="AB37" s="61">
        <f t="shared" si="2"/>
        <v>93.579443596802122</v>
      </c>
      <c r="AC37" s="61">
        <f t="shared" si="2"/>
        <v>94.515238032770142</v>
      </c>
      <c r="AD37" s="61">
        <f t="shared" si="2"/>
        <v>95.460390413097841</v>
      </c>
      <c r="AE37" s="61">
        <f t="shared" si="2"/>
        <v>96.414994317228818</v>
      </c>
      <c r="AF37" s="61">
        <f t="shared" si="2"/>
        <v>97.379144260401105</v>
      </c>
      <c r="AG37" s="61">
        <f t="shared" si="2"/>
        <v>98.352935703005116</v>
      </c>
      <c r="AH37" s="296">
        <f t="shared" si="2"/>
        <v>99.336465060035167</v>
      </c>
      <c r="AI37" s="24"/>
    </row>
    <row r="38" spans="2:36" x14ac:dyDescent="0.25">
      <c r="B38" s="98" t="s">
        <v>5</v>
      </c>
      <c r="C38" s="106"/>
      <c r="D38" s="174">
        <v>4.9000000000000002E-2</v>
      </c>
      <c r="E38" s="297">
        <v>5.0999999999999997E-2</v>
      </c>
      <c r="F38" s="52">
        <v>5.0999999999999997E-2</v>
      </c>
      <c r="G38" s="52">
        <v>5.0999999999999997E-2</v>
      </c>
      <c r="H38" s="52">
        <v>4.9000000000000002E-2</v>
      </c>
      <c r="I38" s="52">
        <v>4.8000000000000001E-2</v>
      </c>
      <c r="J38" s="52">
        <v>4.4999999999999998E-2</v>
      </c>
      <c r="K38" s="52">
        <v>4.3499999999999997E-2</v>
      </c>
      <c r="L38" s="52">
        <v>3.7400000000000003E-2</v>
      </c>
      <c r="M38" s="52">
        <v>3.0700000000000002E-2</v>
      </c>
      <c r="N38" s="52">
        <v>2.2100000000000002E-2</v>
      </c>
      <c r="O38" s="52">
        <v>1.5800000000000002E-2</v>
      </c>
      <c r="P38" s="52">
        <v>1.4E-2</v>
      </c>
      <c r="Q38" s="52">
        <v>1.0999999999999999E-2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00"/>
    </row>
    <row r="39" spans="2:36" x14ac:dyDescent="0.25">
      <c r="B39" s="98" t="s">
        <v>87</v>
      </c>
      <c r="C39" s="106"/>
      <c r="D39" s="175">
        <f>D38*D37*1000000</f>
        <v>3611300.0000000005</v>
      </c>
      <c r="E39" s="298">
        <f>E38*E37*1000000</f>
        <v>3796286.9999999995</v>
      </c>
      <c r="F39" s="136">
        <f>E39*0.996</f>
        <v>3781101.8519999995</v>
      </c>
      <c r="G39" s="136">
        <f t="shared" ref="G39:AH39" si="3">F39*0.996</f>
        <v>3765977.4445919995</v>
      </c>
      <c r="H39" s="136">
        <f t="shared" si="3"/>
        <v>3750913.5348136313</v>
      </c>
      <c r="I39" s="136">
        <f t="shared" si="3"/>
        <v>3735909.8806743766</v>
      </c>
      <c r="J39" s="136">
        <f t="shared" si="3"/>
        <v>3720966.2411516793</v>
      </c>
      <c r="K39" s="136">
        <f t="shared" si="3"/>
        <v>3706082.3761870726</v>
      </c>
      <c r="L39" s="136">
        <f t="shared" si="3"/>
        <v>3691258.0466823243</v>
      </c>
      <c r="M39" s="136">
        <f t="shared" si="3"/>
        <v>3676493.0144955949</v>
      </c>
      <c r="N39" s="136">
        <f t="shared" si="3"/>
        <v>3661787.0424376125</v>
      </c>
      <c r="O39" s="136">
        <f t="shared" si="3"/>
        <v>3647139.8942678622</v>
      </c>
      <c r="P39" s="136">
        <f t="shared" si="3"/>
        <v>3632551.3346907906</v>
      </c>
      <c r="Q39" s="136">
        <f t="shared" si="3"/>
        <v>3618021.1293520276</v>
      </c>
      <c r="R39" s="136">
        <f t="shared" si="3"/>
        <v>3603549.0448346194</v>
      </c>
      <c r="S39" s="136">
        <f t="shared" si="3"/>
        <v>3589134.8486552811</v>
      </c>
      <c r="T39" s="136">
        <f t="shared" si="3"/>
        <v>3574778.3092606599</v>
      </c>
      <c r="U39" s="136">
        <f t="shared" si="3"/>
        <v>3560479.1960236174</v>
      </c>
      <c r="V39" s="136">
        <f t="shared" si="3"/>
        <v>3546237.2792395228</v>
      </c>
      <c r="W39" s="136">
        <f t="shared" si="3"/>
        <v>3532052.3301225645</v>
      </c>
      <c r="X39" s="136">
        <f t="shared" si="3"/>
        <v>3517924.1208020742</v>
      </c>
      <c r="Y39" s="136">
        <f t="shared" si="3"/>
        <v>3503852.4243188659</v>
      </c>
      <c r="Z39" s="136">
        <f t="shared" si="3"/>
        <v>3489837.0146215903</v>
      </c>
      <c r="AA39" s="136">
        <f t="shared" si="3"/>
        <v>3475877.6665631039</v>
      </c>
      <c r="AB39" s="136">
        <f t="shared" si="3"/>
        <v>3461974.1558968513</v>
      </c>
      <c r="AC39" s="136">
        <f t="shared" si="3"/>
        <v>3448126.2592732641</v>
      </c>
      <c r="AD39" s="136">
        <f t="shared" si="3"/>
        <v>3434333.754236171</v>
      </c>
      <c r="AE39" s="136">
        <f t="shared" si="3"/>
        <v>3420596.4192192261</v>
      </c>
      <c r="AF39" s="136">
        <f t="shared" si="3"/>
        <v>3406914.033542349</v>
      </c>
      <c r="AG39" s="136">
        <f t="shared" si="3"/>
        <v>3393286.3774081795</v>
      </c>
      <c r="AH39" s="299">
        <f t="shared" si="3"/>
        <v>3379713.2318985467</v>
      </c>
    </row>
    <row r="40" spans="2:36" x14ac:dyDescent="0.25">
      <c r="B40" s="98" t="s">
        <v>6</v>
      </c>
      <c r="C40" s="107"/>
      <c r="D40" s="176">
        <v>258</v>
      </c>
      <c r="E40" s="300">
        <f t="shared" ref="E40:Q40" si="4">D40-10</f>
        <v>248</v>
      </c>
      <c r="F40" s="22">
        <f t="shared" si="4"/>
        <v>238</v>
      </c>
      <c r="G40" s="22">
        <f t="shared" si="4"/>
        <v>228</v>
      </c>
      <c r="H40" s="22">
        <f t="shared" si="4"/>
        <v>218</v>
      </c>
      <c r="I40" s="22">
        <f t="shared" si="4"/>
        <v>208</v>
      </c>
      <c r="J40" s="22">
        <f t="shared" si="4"/>
        <v>198</v>
      </c>
      <c r="K40" s="22">
        <f t="shared" si="4"/>
        <v>188</v>
      </c>
      <c r="L40" s="22">
        <f t="shared" si="4"/>
        <v>178</v>
      </c>
      <c r="M40" s="22">
        <f t="shared" si="4"/>
        <v>168</v>
      </c>
      <c r="N40" s="22">
        <f t="shared" si="4"/>
        <v>158</v>
      </c>
      <c r="O40" s="22">
        <f t="shared" si="4"/>
        <v>148</v>
      </c>
      <c r="P40" s="22">
        <f t="shared" si="4"/>
        <v>138</v>
      </c>
      <c r="Q40" s="22">
        <f t="shared" si="4"/>
        <v>128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00"/>
    </row>
    <row r="41" spans="2:36" x14ac:dyDescent="0.25">
      <c r="B41" s="98" t="s">
        <v>7</v>
      </c>
      <c r="C41" s="107"/>
      <c r="D41" s="176">
        <f t="shared" ref="D41:Q41" si="5">D40*$C$19</f>
        <v>227.04</v>
      </c>
      <c r="E41" s="300">
        <f t="shared" si="5"/>
        <v>218.24</v>
      </c>
      <c r="F41" s="22">
        <f t="shared" si="5"/>
        <v>209.44</v>
      </c>
      <c r="G41" s="22">
        <f t="shared" si="5"/>
        <v>200.64000000000001</v>
      </c>
      <c r="H41" s="22">
        <f t="shared" si="5"/>
        <v>191.84</v>
      </c>
      <c r="I41" s="22">
        <f t="shared" si="5"/>
        <v>183.04</v>
      </c>
      <c r="J41" s="22">
        <f t="shared" si="5"/>
        <v>174.24</v>
      </c>
      <c r="K41" s="22">
        <f t="shared" si="5"/>
        <v>165.44</v>
      </c>
      <c r="L41" s="22">
        <f t="shared" si="5"/>
        <v>156.64000000000001</v>
      </c>
      <c r="M41" s="22">
        <f t="shared" si="5"/>
        <v>147.84</v>
      </c>
      <c r="N41" s="22">
        <f t="shared" si="5"/>
        <v>139.04</v>
      </c>
      <c r="O41" s="22">
        <f t="shared" si="5"/>
        <v>130.24</v>
      </c>
      <c r="P41" s="22">
        <f t="shared" si="5"/>
        <v>121.44</v>
      </c>
      <c r="Q41" s="22">
        <f t="shared" si="5"/>
        <v>112.64</v>
      </c>
      <c r="R41" s="22"/>
      <c r="S41" s="22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00"/>
    </row>
    <row r="42" spans="2:36" ht="16.5" thickBot="1" x14ac:dyDescent="0.3">
      <c r="B42" s="99" t="s">
        <v>17</v>
      </c>
      <c r="C42" s="108"/>
      <c r="D42" s="177">
        <f t="shared" ref="D42:Q42" si="6">D37*D38*D41</f>
        <v>819.90955200000008</v>
      </c>
      <c r="E42" s="301">
        <f t="shared" si="6"/>
        <v>828.50167487999988</v>
      </c>
      <c r="F42" s="95">
        <f t="shared" si="6"/>
        <v>803.04529277279994</v>
      </c>
      <c r="G42" s="95">
        <f t="shared" si="6"/>
        <v>776.996932855968</v>
      </c>
      <c r="H42" s="95">
        <f t="shared" si="6"/>
        <v>720.92191685028604</v>
      </c>
      <c r="I42" s="95">
        <f t="shared" si="6"/>
        <v>680.55244916790753</v>
      </c>
      <c r="J42" s="95">
        <f t="shared" si="6"/>
        <v>613.41742240654207</v>
      </c>
      <c r="K42" s="95">
        <f t="shared" si="6"/>
        <v>568.6524082205508</v>
      </c>
      <c r="L42" s="95">
        <f t="shared" si="6"/>
        <v>467.5335216588299</v>
      </c>
      <c r="M42" s="95">
        <f t="shared" si="6"/>
        <v>365.83915162841089</v>
      </c>
      <c r="N42" s="95">
        <f t="shared" si="6"/>
        <v>250.15734472480335</v>
      </c>
      <c r="O42" s="95">
        <f t="shared" si="6"/>
        <v>169.20144746363624</v>
      </c>
      <c r="P42" s="95">
        <f t="shared" si="6"/>
        <v>141.19319554598982</v>
      </c>
      <c r="Q42" s="95">
        <f t="shared" si="6"/>
        <v>103.92754633646025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00"/>
      <c r="AI42" s="16"/>
      <c r="AJ42" s="90">
        <f>SUM(D42:AH42)</f>
        <v>7309.8498565121836</v>
      </c>
    </row>
    <row r="43" spans="2:36" x14ac:dyDescent="0.25">
      <c r="B43" s="51"/>
      <c r="C43" s="109"/>
      <c r="D43" s="178"/>
      <c r="E43" s="30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4"/>
    </row>
    <row r="44" spans="2:36" ht="18.75" x14ac:dyDescent="0.3">
      <c r="B44" s="43" t="s">
        <v>81</v>
      </c>
      <c r="C44" s="110"/>
      <c r="D44" s="179"/>
      <c r="E44" s="29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94"/>
    </row>
    <row r="45" spans="2:36" x14ac:dyDescent="0.25">
      <c r="B45" s="98" t="s">
        <v>84</v>
      </c>
      <c r="C45" s="111"/>
      <c r="D45" s="180">
        <f>Calculations!D14</f>
        <v>1.6282225237449117E-3</v>
      </c>
      <c r="E45" s="303">
        <f>Calculations!D15+D45</f>
        <v>5.4972661445249005E-3</v>
      </c>
      <c r="F45" s="53">
        <f>E45*0.996</f>
        <v>5.4752770799468007E-3</v>
      </c>
      <c r="G45" s="53">
        <f t="shared" ref="G45:AH45" si="7">F45*0.996</f>
        <v>5.4533759716270131E-3</v>
      </c>
      <c r="H45" s="53">
        <f t="shared" si="7"/>
        <v>5.4315624677405052E-3</v>
      </c>
      <c r="I45" s="53">
        <f t="shared" si="7"/>
        <v>5.4098362178695431E-3</v>
      </c>
      <c r="J45" s="53">
        <f t="shared" si="7"/>
        <v>5.3881968729980649E-3</v>
      </c>
      <c r="K45" s="53">
        <f t="shared" si="7"/>
        <v>5.366644085506073E-3</v>
      </c>
      <c r="L45" s="53">
        <f t="shared" si="7"/>
        <v>5.345177509164049E-3</v>
      </c>
      <c r="M45" s="53">
        <f t="shared" si="7"/>
        <v>5.3237967991273932E-3</v>
      </c>
      <c r="N45" s="53">
        <f t="shared" si="7"/>
        <v>5.3025016119308838E-3</v>
      </c>
      <c r="O45" s="53">
        <f t="shared" si="7"/>
        <v>5.2812916054831606E-3</v>
      </c>
      <c r="P45" s="53">
        <f t="shared" si="7"/>
        <v>5.2601664390612276E-3</v>
      </c>
      <c r="Q45" s="53">
        <f t="shared" si="7"/>
        <v>5.2391257733049824E-3</v>
      </c>
      <c r="R45" s="53">
        <f t="shared" si="7"/>
        <v>5.2181692702117626E-3</v>
      </c>
      <c r="S45" s="53">
        <f t="shared" si="7"/>
        <v>5.1972965931309156E-3</v>
      </c>
      <c r="T45" s="53">
        <f t="shared" si="7"/>
        <v>5.1765074067583921E-3</v>
      </c>
      <c r="U45" s="53">
        <f t="shared" si="7"/>
        <v>5.155801377131358E-3</v>
      </c>
      <c r="V45" s="53">
        <f t="shared" si="7"/>
        <v>5.1351781716228329E-3</v>
      </c>
      <c r="W45" s="53">
        <f t="shared" si="7"/>
        <v>5.1146374589363412E-3</v>
      </c>
      <c r="X45" s="53">
        <f t="shared" si="7"/>
        <v>5.0941789091005956E-3</v>
      </c>
      <c r="Y45" s="53">
        <f t="shared" si="7"/>
        <v>5.0738021934641931E-3</v>
      </c>
      <c r="Z45" s="53">
        <f t="shared" si="7"/>
        <v>5.0535069846903364E-3</v>
      </c>
      <c r="AA45" s="53">
        <f t="shared" si="7"/>
        <v>5.0332929567515746E-3</v>
      </c>
      <c r="AB45" s="53">
        <f t="shared" si="7"/>
        <v>5.0131597849245686E-3</v>
      </c>
      <c r="AC45" s="53">
        <f t="shared" si="7"/>
        <v>4.9931071457848704E-3</v>
      </c>
      <c r="AD45" s="53">
        <f t="shared" si="7"/>
        <v>4.9731347172017309E-3</v>
      </c>
      <c r="AE45" s="53">
        <f t="shared" si="7"/>
        <v>4.953242178332924E-3</v>
      </c>
      <c r="AF45" s="53">
        <f t="shared" si="7"/>
        <v>4.9334292096195921E-3</v>
      </c>
      <c r="AG45" s="53">
        <f t="shared" si="7"/>
        <v>4.9136954927811137E-3</v>
      </c>
      <c r="AH45" s="304">
        <f t="shared" si="7"/>
        <v>4.8940407108099895E-3</v>
      </c>
    </row>
    <row r="46" spans="2:36" x14ac:dyDescent="0.25">
      <c r="B46" s="98" t="s">
        <v>86</v>
      </c>
      <c r="C46" s="111"/>
      <c r="D46" s="181">
        <f>Calculations!F21</f>
        <v>120000</v>
      </c>
      <c r="E46" s="305">
        <f>Calculations!G21</f>
        <v>407520.00000000006</v>
      </c>
      <c r="F46" s="137">
        <f>Calculations!H21</f>
        <v>596742.52800000005</v>
      </c>
      <c r="G46" s="137">
        <f>Calculations!I21</f>
        <v>594355.55788800004</v>
      </c>
      <c r="H46" s="137">
        <f>Calculations!J21</f>
        <v>591978.13565644796</v>
      </c>
      <c r="I46" s="137">
        <f>Calculations!K21</f>
        <v>589610.22311382229</v>
      </c>
      <c r="J46" s="137">
        <f>Calculations!L21</f>
        <v>587251.782221367</v>
      </c>
      <c r="K46" s="137">
        <f>Calculations!M21</f>
        <v>584902.77509248152</v>
      </c>
      <c r="L46" s="137">
        <f>Calculations!N21</f>
        <v>582563.16399211157</v>
      </c>
      <c r="M46" s="137">
        <f>Calculations!O21</f>
        <v>580232.91133614315</v>
      </c>
      <c r="N46" s="137">
        <f>Calculations!P21</f>
        <v>577911.97969079856</v>
      </c>
      <c r="O46" s="137">
        <f>Calculations!Q21</f>
        <v>575600.33177203534</v>
      </c>
      <c r="P46" s="137">
        <f>Calculations!R21</f>
        <v>573297.93044494721</v>
      </c>
      <c r="Q46" s="137">
        <f>Calculations!S21</f>
        <v>571004.73872316745</v>
      </c>
      <c r="R46" s="137">
        <f>Calculations!T21</f>
        <v>568720.71976827469</v>
      </c>
      <c r="S46" s="137">
        <f>Calculations!U21</f>
        <v>453447.68972296285</v>
      </c>
      <c r="T46" s="137">
        <f>Calculations!V21</f>
        <v>181523.12797789369</v>
      </c>
      <c r="U46" s="137">
        <f>Calculations!W21</f>
        <v>180797.0354659821</v>
      </c>
      <c r="V46" s="137">
        <f>Calculations!X21</f>
        <v>180073.84732411816</v>
      </c>
      <c r="W46" s="137">
        <f>Calculations!Y21</f>
        <v>179353.55193482168</v>
      </c>
      <c r="X46" s="137">
        <f>Calculations!Z21</f>
        <v>178636.13772708239</v>
      </c>
      <c r="Y46" s="137">
        <f>Calculations!AA21</f>
        <v>177921.59317617406</v>
      </c>
      <c r="Z46" s="137">
        <f>Calculations!AB21</f>
        <v>177209.90680346938</v>
      </c>
      <c r="AA46" s="137">
        <f>Calculations!AC21</f>
        <v>176501.06717625548</v>
      </c>
      <c r="AB46" s="137">
        <f>Calculations!AD21</f>
        <v>175795.06290755045</v>
      </c>
      <c r="AC46" s="137">
        <f>Calculations!AE21</f>
        <v>175091.88265592026</v>
      </c>
      <c r="AD46" s="137">
        <f>Calculations!AF21</f>
        <v>174391.51512529657</v>
      </c>
      <c r="AE46" s="137">
        <f>Calculations!AG21</f>
        <v>173693.94906479539</v>
      </c>
      <c r="AF46" s="137">
        <f>Calculations!AH21</f>
        <v>172999.17326853622</v>
      </c>
      <c r="AG46" s="137">
        <f>Calculations!AI21</f>
        <v>172307.17657546207</v>
      </c>
      <c r="AH46" s="306">
        <f>Calculations!AJ21</f>
        <v>171617.94786916021</v>
      </c>
    </row>
    <row r="47" spans="2:36" ht="15.75" x14ac:dyDescent="0.25">
      <c r="B47" s="100" t="s">
        <v>82</v>
      </c>
      <c r="C47" s="120"/>
      <c r="D47" s="177">
        <f>Calculations!F17</f>
        <v>14.88</v>
      </c>
      <c r="E47" s="301">
        <f>Calculations!G17</f>
        <v>50.532480000000007</v>
      </c>
      <c r="F47" s="95">
        <f>Calculations!H17</f>
        <v>73.996073472000006</v>
      </c>
      <c r="G47" s="95">
        <f>Calculations!I17</f>
        <v>73.700089178111995</v>
      </c>
      <c r="H47" s="95">
        <f>Calculations!J17</f>
        <v>73.405288821399552</v>
      </c>
      <c r="I47" s="95">
        <f>Calculations!K17</f>
        <v>73.111667666113959</v>
      </c>
      <c r="J47" s="95">
        <f>Calculations!L17</f>
        <v>72.819220995449513</v>
      </c>
      <c r="K47" s="95">
        <f>Calculations!M17</f>
        <v>72.527944111467704</v>
      </c>
      <c r="L47" s="95">
        <f>Calculations!N17</f>
        <v>72.237832335021835</v>
      </c>
      <c r="M47" s="95">
        <f>Calculations!O17</f>
        <v>71.948881005681756</v>
      </c>
      <c r="N47" s="95">
        <f>Calculations!P17</f>
        <v>71.661085481659029</v>
      </c>
      <c r="O47" s="95">
        <f>Calculations!Q17</f>
        <v>71.374441139732369</v>
      </c>
      <c r="P47" s="95">
        <f>Calculations!R17</f>
        <v>71.088943375173443</v>
      </c>
      <c r="Q47" s="95">
        <f>Calculations!S17</f>
        <v>70.804587601672765</v>
      </c>
      <c r="R47" s="95">
        <f>Calculations!T17</f>
        <v>70.521369251266066</v>
      </c>
      <c r="S47" s="95">
        <f>Calculations!U17</f>
        <v>56.227513525647396</v>
      </c>
      <c r="T47" s="95">
        <f>Calculations!V17</f>
        <v>22.508867869258818</v>
      </c>
      <c r="U47" s="95">
        <f>Calculations!W17</f>
        <v>0</v>
      </c>
      <c r="V47" s="95">
        <f>Calculations!X17</f>
        <v>0</v>
      </c>
      <c r="W47" s="95">
        <f>Calculations!Y17</f>
        <v>0</v>
      </c>
      <c r="X47" s="95">
        <f>Calculations!Z17</f>
        <v>0</v>
      </c>
      <c r="Y47" s="95">
        <f>Calculations!AA17</f>
        <v>0</v>
      </c>
      <c r="Z47" s="95">
        <f>Calculations!AB17</f>
        <v>0</v>
      </c>
      <c r="AA47" s="95">
        <f>Calculations!AC17</f>
        <v>0</v>
      </c>
      <c r="AB47" s="95">
        <f>Calculations!AD17</f>
        <v>0</v>
      </c>
      <c r="AC47" s="95">
        <f>Calculations!AE17</f>
        <v>0</v>
      </c>
      <c r="AD47" s="95">
        <f>Calculations!AF17</f>
        <v>0</v>
      </c>
      <c r="AE47" s="95">
        <f>Calculations!AG17</f>
        <v>0</v>
      </c>
      <c r="AF47" s="95">
        <f>Calculations!AH17</f>
        <v>0</v>
      </c>
      <c r="AG47" s="95">
        <f>Calculations!AI17</f>
        <v>0</v>
      </c>
      <c r="AH47" s="307">
        <f>Calculations!AJ17</f>
        <v>0</v>
      </c>
      <c r="AI47" s="16"/>
      <c r="AJ47" s="90">
        <f>SUM(D47:AH47)</f>
        <v>1083.3462858296564</v>
      </c>
    </row>
    <row r="48" spans="2:36" x14ac:dyDescent="0.25">
      <c r="B48" s="51"/>
      <c r="C48" s="109"/>
      <c r="D48" s="182"/>
      <c r="E48" s="30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294"/>
    </row>
    <row r="49" spans="2:36" ht="18.75" x14ac:dyDescent="0.3">
      <c r="B49" s="43" t="s">
        <v>55</v>
      </c>
      <c r="C49" s="110"/>
      <c r="D49" s="172"/>
      <c r="E49" s="29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294"/>
    </row>
    <row r="50" spans="2:36" ht="15.75" x14ac:dyDescent="0.25">
      <c r="B50" s="129" t="s">
        <v>85</v>
      </c>
      <c r="C50" s="112"/>
      <c r="D50" s="84">
        <f>Calculations!D27</f>
        <v>0</v>
      </c>
      <c r="E50" s="308">
        <f>Calculations!D28</f>
        <v>0</v>
      </c>
      <c r="F50" s="54">
        <f>F51/F37/1000000</f>
        <v>6.4962902378607884E-3</v>
      </c>
      <c r="G50" s="54">
        <f t="shared" ref="G50:AH50" si="8">G51/G37/1000000</f>
        <v>1.7784667179706306E-2</v>
      </c>
      <c r="H50" s="54">
        <f t="shared" si="8"/>
        <v>2.9382849142728075E-2</v>
      </c>
      <c r="I50" s="54">
        <f t="shared" si="8"/>
        <v>4.1353653051330749E-2</v>
      </c>
      <c r="J50" s="54">
        <f t="shared" si="8"/>
        <v>5.3741544933256134E-2</v>
      </c>
      <c r="K50" s="54">
        <f t="shared" si="8"/>
        <v>6.6588731904800982E-2</v>
      </c>
      <c r="L50" s="54">
        <f t="shared" si="8"/>
        <v>7.9965299881108579E-2</v>
      </c>
      <c r="M50" s="54">
        <f t="shared" si="8"/>
        <v>9.3923006787152513E-2</v>
      </c>
      <c r="N50" s="54">
        <f t="shared" si="8"/>
        <v>0.10851091653947686</v>
      </c>
      <c r="O50" s="54">
        <f t="shared" si="8"/>
        <v>0.1227392927623957</v>
      </c>
      <c r="P50" s="54">
        <f t="shared" si="8"/>
        <v>0.13661467676106293</v>
      </c>
      <c r="Q50" s="54">
        <f t="shared" si="8"/>
        <v>0.15014350374658006</v>
      </c>
      <c r="R50" s="54">
        <f t="shared" si="8"/>
        <v>0.16333210445930482</v>
      </c>
      <c r="S50" s="54">
        <f t="shared" si="8"/>
        <v>0.17618670676814668</v>
      </c>
      <c r="T50" s="54">
        <f t="shared" si="8"/>
        <v>0.18871343724619682</v>
      </c>
      <c r="U50" s="54">
        <f t="shared" si="8"/>
        <v>0.20091832272303578</v>
      </c>
      <c r="V50" s="54">
        <f t="shared" si="8"/>
        <v>0.21280729181405669</v>
      </c>
      <c r="W50" s="54">
        <f t="shared" si="8"/>
        <v>0.2243861764271366</v>
      </c>
      <c r="X50" s="54">
        <f t="shared" si="8"/>
        <v>0.23566071324698543</v>
      </c>
      <c r="Y50" s="54">
        <f t="shared" si="8"/>
        <v>0.24663654519749503</v>
      </c>
      <c r="Z50" s="54">
        <f t="shared" si="8"/>
        <v>0.25731922288240827</v>
      </c>
      <c r="AA50" s="54">
        <f t="shared" si="8"/>
        <v>0.2677142060046217</v>
      </c>
      <c r="AB50" s="54">
        <f t="shared" si="8"/>
        <v>0.27782686476443352</v>
      </c>
      <c r="AC50" s="54">
        <f t="shared" si="8"/>
        <v>0.28766248123703969</v>
      </c>
      <c r="AD50" s="54">
        <f t="shared" si="8"/>
        <v>0.29722625072958209</v>
      </c>
      <c r="AE50" s="54">
        <f t="shared" si="8"/>
        <v>0.30652328311804417</v>
      </c>
      <c r="AF50" s="54">
        <f t="shared" si="8"/>
        <v>0.31555860416428627</v>
      </c>
      <c r="AG50" s="54">
        <f t="shared" si="8"/>
        <v>0.32433715681351111</v>
      </c>
      <c r="AH50" s="309">
        <f t="shared" si="8"/>
        <v>0.33286380247244063</v>
      </c>
    </row>
    <row r="51" spans="2:36" ht="15.75" x14ac:dyDescent="0.25">
      <c r="B51" s="129" t="s">
        <v>88</v>
      </c>
      <c r="C51" s="112"/>
      <c r="D51" s="183"/>
      <c r="E51" s="308"/>
      <c r="F51" s="136">
        <f>Calculations!H95</f>
        <v>488400</v>
      </c>
      <c r="G51" s="136">
        <f>Calculations!I95</f>
        <v>1350446.4</v>
      </c>
      <c r="H51" s="136">
        <f>Calculations!J95</f>
        <v>2253444.6144000003</v>
      </c>
      <c r="I51" s="136">
        <f>Calculations!K95</f>
        <v>3203230.8359424002</v>
      </c>
      <c r="J51" s="136">
        <f>Calculations!L95</f>
        <v>4204417.9125986304</v>
      </c>
      <c r="K51" s="136">
        <f>Calculations!M95</f>
        <v>5261600.2409482356</v>
      </c>
      <c r="L51" s="136">
        <f>Calculations!N95</f>
        <v>6381753.839984443</v>
      </c>
      <c r="M51" s="136">
        <f>Calculations!O95</f>
        <v>7570626.8246245058</v>
      </c>
      <c r="N51" s="136">
        <f>Calculations!P95</f>
        <v>8833944.3173260074</v>
      </c>
      <c r="O51" s="136">
        <f>Calculations!Q95</f>
        <v>10092208.540056704</v>
      </c>
      <c r="P51" s="136">
        <f>Calculations!R95</f>
        <v>11345439.705896476</v>
      </c>
      <c r="Q51" s="136">
        <f>Calculations!S95</f>
        <v>12593657.947072892</v>
      </c>
      <c r="R51" s="136">
        <f>Calculations!T95</f>
        <v>13836883.3152846</v>
      </c>
      <c r="S51" s="136">
        <f>Calculations!U95</f>
        <v>15075135.782023463</v>
      </c>
      <c r="T51" s="136">
        <f>Calculations!V95</f>
        <v>16308435.23889537</v>
      </c>
      <c r="U51" s="136">
        <f>Calculations!W95</f>
        <v>17536801.497939788</v>
      </c>
      <c r="V51" s="136">
        <f>Calculations!X95</f>
        <v>18760254.291948028</v>
      </c>
      <c r="W51" s="136">
        <f>Calculations!Y95</f>
        <v>19978813.274780236</v>
      </c>
      <c r="X51" s="136">
        <f>Calculations!Z95</f>
        <v>21192498.021681115</v>
      </c>
      <c r="Y51" s="136">
        <f>Calculations!AA95</f>
        <v>22401328.029594388</v>
      </c>
      <c r="Z51" s="136">
        <f>Calculations!AB95</f>
        <v>23605322.717476014</v>
      </c>
      <c r="AA51" s="136">
        <f>Calculations!AC95</f>
        <v>24804501.4266061</v>
      </c>
      <c r="AB51" s="136">
        <f>Calculations!AD95</f>
        <v>25998883.420899678</v>
      </c>
      <c r="AC51" s="136">
        <f>Calculations!AE95</f>
        <v>27188487.88721608</v>
      </c>
      <c r="AD51" s="136">
        <f>Calculations!AF95</f>
        <v>28373333.935667213</v>
      </c>
      <c r="AE51" s="136">
        <f>Calculations!AG95</f>
        <v>29553440.599924546</v>
      </c>
      <c r="AF51" s="136">
        <f>Calculations!AH95</f>
        <v>30728826.837524842</v>
      </c>
      <c r="AG51" s="136">
        <f>Calculations!AI95</f>
        <v>31899511.530174743</v>
      </c>
      <c r="AH51" s="299">
        <f>Calculations!AJ95</f>
        <v>33065513.484054048</v>
      </c>
    </row>
    <row r="52" spans="2:36" ht="15.75" x14ac:dyDescent="0.25">
      <c r="B52" s="100" t="s">
        <v>43</v>
      </c>
      <c r="C52" s="113"/>
      <c r="D52" s="184">
        <f>Calculations!F58</f>
        <v>0</v>
      </c>
      <c r="E52" s="301">
        <f>Calculations!G58</f>
        <v>0</v>
      </c>
      <c r="F52" s="95">
        <f>Calculations!H58</f>
        <v>43.956000000000003</v>
      </c>
      <c r="G52" s="95">
        <f>Calculations!I58</f>
        <v>108.23063507481601</v>
      </c>
      <c r="H52" s="95">
        <f>Calculations!J58</f>
        <v>170.61431676230552</v>
      </c>
      <c r="I52" s="95">
        <f>Calculations!K58</f>
        <v>232.68478496026384</v>
      </c>
      <c r="J52" s="95">
        <f>Calculations!L58</f>
        <v>294.55351289981445</v>
      </c>
      <c r="K52" s="95">
        <f>Calculations!M58</f>
        <v>356.31670560284414</v>
      </c>
      <c r="L52" s="95">
        <f>Calculations!N58</f>
        <v>418.18129446003167</v>
      </c>
      <c r="M52" s="95">
        <f>Calculations!O58</f>
        <v>480.24115698582978</v>
      </c>
      <c r="N52" s="95">
        <f>Calculations!P58</f>
        <v>542.56309891800242</v>
      </c>
      <c r="O52" s="95">
        <f>Calculations!Q58</f>
        <v>601.02400275468437</v>
      </c>
      <c r="P52" s="95">
        <f>Calculations!R58</f>
        <v>655.97747137637316</v>
      </c>
      <c r="Q52" s="95">
        <f>Calculations!S58</f>
        <v>707.61423552170697</v>
      </c>
      <c r="R52" s="95">
        <f>Calculations!T58</f>
        <v>756.11472740420334</v>
      </c>
      <c r="S52" s="95">
        <f>Calculations!U58</f>
        <v>801.64963637617984</v>
      </c>
      <c r="T52" s="95">
        <f>Calculations!V58</f>
        <v>844.38043461882285</v>
      </c>
      <c r="U52" s="95">
        <f>Calculations!W58</f>
        <v>884.4598744749477</v>
      </c>
      <c r="V52" s="95">
        <f>Calculations!X58</f>
        <v>922.03245895383111</v>
      </c>
      <c r="W52" s="95">
        <f>Calculations!Y58</f>
        <v>957.23488685502105</v>
      </c>
      <c r="X52" s="95">
        <f>Calculations!Z58</f>
        <v>990.19647388002068</v>
      </c>
      <c r="Y52" s="95">
        <f>Calculations!AA58</f>
        <v>1021.0395510269055</v>
      </c>
      <c r="Z52" s="95">
        <f>Calculations!AB58</f>
        <v>1009.6337592787271</v>
      </c>
      <c r="AA52" s="95">
        <f>Calculations!AC58</f>
        <v>977.64820896372385</v>
      </c>
      <c r="AB52" s="95">
        <f>Calculations!AD58</f>
        <v>945.44585259071198</v>
      </c>
      <c r="AC52" s="95">
        <f>Calculations!AD58</f>
        <v>945.44585259071198</v>
      </c>
      <c r="AD52" s="95">
        <f>Calculations!AE58</f>
        <v>911.85638458555513</v>
      </c>
      <c r="AE52" s="95">
        <f>Calculations!AF58</f>
        <v>876.85710204619318</v>
      </c>
      <c r="AF52" s="95">
        <f>Calculations!AG58</f>
        <v>840.44752140931246</v>
      </c>
      <c r="AG52" s="95">
        <f>Calculations!AH58</f>
        <v>802.52388850431714</v>
      </c>
      <c r="AH52" s="307">
        <f>Calculations!AI58</f>
        <v>763.07672964814697</v>
      </c>
      <c r="AI52" s="16"/>
      <c r="AJ52" s="90">
        <f>SUM(D52:AH52)</f>
        <v>19862.000558524003</v>
      </c>
    </row>
    <row r="53" spans="2:36" ht="15.75" x14ac:dyDescent="0.25">
      <c r="B53" s="94"/>
      <c r="C53" s="114"/>
      <c r="D53" s="185"/>
      <c r="E53" s="310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311"/>
      <c r="AI53" s="16"/>
      <c r="AJ53" s="90"/>
    </row>
    <row r="54" spans="2:36" ht="15.75" x14ac:dyDescent="0.25">
      <c r="B54" s="101" t="s">
        <v>89</v>
      </c>
      <c r="C54" s="113"/>
      <c r="D54" s="186">
        <f>D51+D46+D39</f>
        <v>3731300.0000000005</v>
      </c>
      <c r="E54" s="312">
        <f>E51+E46+E39</f>
        <v>4203807</v>
      </c>
      <c r="F54" s="136">
        <f>F51+F46+F39</f>
        <v>4866244.379999999</v>
      </c>
      <c r="G54" s="136">
        <f t="shared" ref="G54:AH54" si="9">G51+G46+G39</f>
        <v>5710779.4024799997</v>
      </c>
      <c r="H54" s="136">
        <f t="shared" si="9"/>
        <v>6596336.2848700797</v>
      </c>
      <c r="I54" s="136">
        <f t="shared" si="9"/>
        <v>7528750.9397305995</v>
      </c>
      <c r="J54" s="136">
        <f t="shared" si="9"/>
        <v>8512635.9359716773</v>
      </c>
      <c r="K54" s="136">
        <f t="shared" si="9"/>
        <v>9552585.3922277894</v>
      </c>
      <c r="L54" s="136">
        <f t="shared" si="9"/>
        <v>10655575.050658878</v>
      </c>
      <c r="M54" s="136">
        <f t="shared" si="9"/>
        <v>11827352.750456244</v>
      </c>
      <c r="N54" s="136">
        <f t="shared" si="9"/>
        <v>13073643.33945442</v>
      </c>
      <c r="O54" s="136">
        <f t="shared" si="9"/>
        <v>14314948.766096601</v>
      </c>
      <c r="P54" s="136">
        <f t="shared" si="9"/>
        <v>15551288.971032213</v>
      </c>
      <c r="Q54" s="136">
        <f t="shared" si="9"/>
        <v>16782683.815148085</v>
      </c>
      <c r="R54" s="136">
        <f t="shared" si="9"/>
        <v>18009153.079887494</v>
      </c>
      <c r="S54" s="136">
        <f t="shared" si="9"/>
        <v>19117718.320401706</v>
      </c>
      <c r="T54" s="136">
        <f t="shared" si="9"/>
        <v>20064736.676133923</v>
      </c>
      <c r="U54" s="136">
        <f t="shared" si="9"/>
        <v>21278077.729429387</v>
      </c>
      <c r="V54" s="136">
        <f t="shared" si="9"/>
        <v>22486565.41851167</v>
      </c>
      <c r="W54" s="136">
        <f t="shared" si="9"/>
        <v>23690219.156837624</v>
      </c>
      <c r="X54" s="136">
        <f t="shared" si="9"/>
        <v>24889058.280210271</v>
      </c>
      <c r="Y54" s="136">
        <f t="shared" si="9"/>
        <v>26083102.047089428</v>
      </c>
      <c r="Z54" s="136">
        <f t="shared" si="9"/>
        <v>27272369.638901073</v>
      </c>
      <c r="AA54" s="136">
        <f t="shared" si="9"/>
        <v>28456880.160345461</v>
      </c>
      <c r="AB54" s="136">
        <f t="shared" si="9"/>
        <v>29636652.639704078</v>
      </c>
      <c r="AC54" s="136">
        <f t="shared" si="9"/>
        <v>30811706.029145263</v>
      </c>
      <c r="AD54" s="136">
        <f t="shared" si="9"/>
        <v>31982059.205028683</v>
      </c>
      <c r="AE54" s="136">
        <f t="shared" si="9"/>
        <v>33147730.968208566</v>
      </c>
      <c r="AF54" s="136">
        <f t="shared" si="9"/>
        <v>34308740.04433573</v>
      </c>
      <c r="AG54" s="136">
        <f t="shared" si="9"/>
        <v>35465105.084158383</v>
      </c>
      <c r="AH54" s="299">
        <f t="shared" si="9"/>
        <v>36616844.663821757</v>
      </c>
      <c r="AI54" s="16"/>
      <c r="AJ54" s="90"/>
    </row>
    <row r="55" spans="2:36" ht="15.75" x14ac:dyDescent="0.25">
      <c r="B55" s="101" t="s">
        <v>44</v>
      </c>
      <c r="C55" s="120" t="s">
        <v>60</v>
      </c>
      <c r="D55" s="184">
        <f>IF($C$55="yes",D42+D47+D52,0)</f>
        <v>834.78955200000007</v>
      </c>
      <c r="E55" s="313">
        <f t="shared" ref="E55:AH55" si="10">IF($C$55="yes",E42+E47+E52,0)</f>
        <v>879.03415487999985</v>
      </c>
      <c r="F55" s="184">
        <f t="shared" si="10"/>
        <v>920.99736624479999</v>
      </c>
      <c r="G55" s="184">
        <f t="shared" si="10"/>
        <v>958.92765710889603</v>
      </c>
      <c r="H55" s="184">
        <f t="shared" si="10"/>
        <v>964.94152243399105</v>
      </c>
      <c r="I55" s="184">
        <f t="shared" si="10"/>
        <v>986.34890179428533</v>
      </c>
      <c r="J55" s="184">
        <f t="shared" si="10"/>
        <v>980.79015630180606</v>
      </c>
      <c r="K55" s="184">
        <f t="shared" si="10"/>
        <v>997.4970579348626</v>
      </c>
      <c r="L55" s="184">
        <f t="shared" si="10"/>
        <v>957.95264845388351</v>
      </c>
      <c r="M55" s="184">
        <f t="shared" si="10"/>
        <v>918.02918961992236</v>
      </c>
      <c r="N55" s="184">
        <f t="shared" si="10"/>
        <v>864.38152912446481</v>
      </c>
      <c r="O55" s="184">
        <f t="shared" si="10"/>
        <v>841.59989135805301</v>
      </c>
      <c r="P55" s="184">
        <f t="shared" si="10"/>
        <v>868.25961029753648</v>
      </c>
      <c r="Q55" s="184">
        <f t="shared" si="10"/>
        <v>882.34636945983993</v>
      </c>
      <c r="R55" s="184">
        <f t="shared" si="10"/>
        <v>826.63609665546937</v>
      </c>
      <c r="S55" s="184">
        <f t="shared" si="10"/>
        <v>857.87714990182724</v>
      </c>
      <c r="T55" s="184">
        <f t="shared" si="10"/>
        <v>866.88930248808163</v>
      </c>
      <c r="U55" s="184">
        <f t="shared" si="10"/>
        <v>884.4598744749477</v>
      </c>
      <c r="V55" s="184">
        <f t="shared" si="10"/>
        <v>922.03245895383111</v>
      </c>
      <c r="W55" s="184">
        <f t="shared" si="10"/>
        <v>957.23488685502105</v>
      </c>
      <c r="X55" s="184">
        <f t="shared" si="10"/>
        <v>990.19647388002068</v>
      </c>
      <c r="Y55" s="184">
        <f t="shared" si="10"/>
        <v>1021.0395510269055</v>
      </c>
      <c r="Z55" s="184">
        <f t="shared" si="10"/>
        <v>1009.6337592787271</v>
      </c>
      <c r="AA55" s="184">
        <f t="shared" si="10"/>
        <v>977.64820896372385</v>
      </c>
      <c r="AB55" s="184">
        <f t="shared" si="10"/>
        <v>945.44585259071198</v>
      </c>
      <c r="AC55" s="184">
        <f t="shared" si="10"/>
        <v>945.44585259071198</v>
      </c>
      <c r="AD55" s="184">
        <f t="shared" si="10"/>
        <v>911.85638458555513</v>
      </c>
      <c r="AE55" s="184">
        <f t="shared" si="10"/>
        <v>876.85710204619318</v>
      </c>
      <c r="AF55" s="184">
        <f t="shared" si="10"/>
        <v>840.44752140931246</v>
      </c>
      <c r="AG55" s="184">
        <f t="shared" si="10"/>
        <v>802.52388850431714</v>
      </c>
      <c r="AH55" s="314">
        <f t="shared" si="10"/>
        <v>763.07672964814697</v>
      </c>
      <c r="AI55" s="16"/>
      <c r="AJ55" s="90"/>
    </row>
    <row r="56" spans="2:36" x14ac:dyDescent="0.25">
      <c r="B56" s="51"/>
      <c r="C56" s="109"/>
      <c r="D56" s="182"/>
      <c r="E56" s="302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294"/>
    </row>
    <row r="57" spans="2:36" ht="18.75" x14ac:dyDescent="0.3">
      <c r="B57" s="72" t="s">
        <v>26</v>
      </c>
      <c r="C57" s="109"/>
      <c r="D57" s="182"/>
      <c r="E57" s="302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294"/>
    </row>
    <row r="58" spans="2:36" ht="21" x14ac:dyDescent="0.3">
      <c r="B58" s="55" t="s">
        <v>50</v>
      </c>
      <c r="C58" s="109"/>
      <c r="D58" s="172"/>
      <c r="E58" s="30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294"/>
    </row>
    <row r="59" spans="2:36" x14ac:dyDescent="0.25">
      <c r="B59" s="157" t="s">
        <v>52</v>
      </c>
      <c r="C59" s="111"/>
      <c r="D59" s="187"/>
      <c r="E59" s="315"/>
      <c r="F59" s="60"/>
      <c r="G59" s="60">
        <v>400</v>
      </c>
      <c r="H59" s="60">
        <f>G59+700</f>
        <v>1100</v>
      </c>
      <c r="I59" s="60">
        <f>H59+400</f>
        <v>1500</v>
      </c>
      <c r="J59" s="60">
        <f>I59+400</f>
        <v>1900</v>
      </c>
      <c r="K59" s="60">
        <f>J59+800</f>
        <v>2700</v>
      </c>
      <c r="L59" s="60">
        <f>K59+400</f>
        <v>3100</v>
      </c>
      <c r="M59" s="60">
        <f>L59+800</f>
        <v>3900</v>
      </c>
      <c r="N59" s="60">
        <f>M59+400</f>
        <v>4300</v>
      </c>
      <c r="O59" s="60">
        <f>N59+800</f>
        <v>5100</v>
      </c>
      <c r="P59" s="60">
        <f>O59+500</f>
        <v>5600</v>
      </c>
      <c r="Q59" s="60">
        <f>P59+900</f>
        <v>6500</v>
      </c>
      <c r="R59" s="60">
        <f>Q59+500</f>
        <v>7000</v>
      </c>
      <c r="S59" s="60">
        <f>R59+500</f>
        <v>7500</v>
      </c>
      <c r="T59" s="60">
        <f>S59+300</f>
        <v>7800</v>
      </c>
      <c r="U59" s="60">
        <f t="shared" ref="U59:AG59" si="11">T59+300</f>
        <v>8100</v>
      </c>
      <c r="V59" s="60">
        <f t="shared" si="11"/>
        <v>8400</v>
      </c>
      <c r="W59" s="60">
        <f t="shared" si="11"/>
        <v>8700</v>
      </c>
      <c r="X59" s="60">
        <f t="shared" si="11"/>
        <v>9000</v>
      </c>
      <c r="Y59" s="60">
        <f t="shared" si="11"/>
        <v>9300</v>
      </c>
      <c r="Z59" s="60">
        <f t="shared" si="11"/>
        <v>9600</v>
      </c>
      <c r="AA59" s="60">
        <f t="shared" si="11"/>
        <v>9900</v>
      </c>
      <c r="AB59" s="60">
        <f t="shared" si="11"/>
        <v>10200</v>
      </c>
      <c r="AC59" s="60">
        <f t="shared" si="11"/>
        <v>10500</v>
      </c>
      <c r="AD59" s="60">
        <f t="shared" si="11"/>
        <v>10800</v>
      </c>
      <c r="AE59" s="60">
        <f t="shared" si="11"/>
        <v>11100</v>
      </c>
      <c r="AF59" s="60">
        <f t="shared" si="11"/>
        <v>11400</v>
      </c>
      <c r="AG59" s="60">
        <f t="shared" si="11"/>
        <v>11700</v>
      </c>
      <c r="AH59" s="316">
        <f>AG59+300</f>
        <v>12000</v>
      </c>
      <c r="AJ59" s="90">
        <f>SUM(D59:AH59)</f>
        <v>199100</v>
      </c>
    </row>
    <row r="60" spans="2:36" x14ac:dyDescent="0.25">
      <c r="B60" s="157" t="s">
        <v>90</v>
      </c>
      <c r="C60" s="111"/>
      <c r="D60" s="187"/>
      <c r="E60" s="315"/>
      <c r="F60" s="60"/>
      <c r="G60" s="60"/>
      <c r="H60" s="138">
        <f>H59*8760*0.34</f>
        <v>3276240.0000000005</v>
      </c>
      <c r="I60" s="138">
        <f>I59*8760*0.34</f>
        <v>4467600</v>
      </c>
      <c r="J60" s="138">
        <f t="shared" ref="J60:AH60" si="12">J59*8760*0.34</f>
        <v>5658960</v>
      </c>
      <c r="K60" s="138">
        <f t="shared" si="12"/>
        <v>8041680.0000000009</v>
      </c>
      <c r="L60" s="138">
        <f t="shared" si="12"/>
        <v>9233040</v>
      </c>
      <c r="M60" s="138">
        <f t="shared" si="12"/>
        <v>11615760</v>
      </c>
      <c r="N60" s="138">
        <f t="shared" si="12"/>
        <v>12807120</v>
      </c>
      <c r="O60" s="138">
        <f t="shared" si="12"/>
        <v>15189840.000000002</v>
      </c>
      <c r="P60" s="138">
        <f t="shared" si="12"/>
        <v>16679040.000000002</v>
      </c>
      <c r="Q60" s="138">
        <f t="shared" si="12"/>
        <v>19359600</v>
      </c>
      <c r="R60" s="138">
        <f t="shared" si="12"/>
        <v>20848800</v>
      </c>
      <c r="S60" s="138">
        <f t="shared" si="12"/>
        <v>22338000</v>
      </c>
      <c r="T60" s="138">
        <f t="shared" si="12"/>
        <v>23231520</v>
      </c>
      <c r="U60" s="138">
        <f t="shared" si="12"/>
        <v>24125040</v>
      </c>
      <c r="V60" s="138">
        <f t="shared" si="12"/>
        <v>25018560</v>
      </c>
      <c r="W60" s="138">
        <f t="shared" si="12"/>
        <v>25912080</v>
      </c>
      <c r="X60" s="138">
        <f t="shared" si="12"/>
        <v>26805600.000000004</v>
      </c>
      <c r="Y60" s="138">
        <f t="shared" si="12"/>
        <v>27699120.000000004</v>
      </c>
      <c r="Z60" s="138">
        <f t="shared" si="12"/>
        <v>28592640.000000004</v>
      </c>
      <c r="AA60" s="138">
        <f t="shared" si="12"/>
        <v>29486160.000000004</v>
      </c>
      <c r="AB60" s="138">
        <f t="shared" si="12"/>
        <v>30379680.000000004</v>
      </c>
      <c r="AC60" s="138">
        <f t="shared" si="12"/>
        <v>31273200.000000004</v>
      </c>
      <c r="AD60" s="138">
        <f t="shared" si="12"/>
        <v>32166720.000000004</v>
      </c>
      <c r="AE60" s="138">
        <f t="shared" si="12"/>
        <v>33060240.000000004</v>
      </c>
      <c r="AF60" s="138">
        <f t="shared" si="12"/>
        <v>33953760</v>
      </c>
      <c r="AG60" s="138">
        <f t="shared" si="12"/>
        <v>34847280</v>
      </c>
      <c r="AH60" s="317">
        <f t="shared" si="12"/>
        <v>35740800</v>
      </c>
    </row>
    <row r="61" spans="2:36" x14ac:dyDescent="0.25">
      <c r="B61" s="157" t="s">
        <v>22</v>
      </c>
      <c r="C61" s="111"/>
      <c r="D61" s="187"/>
      <c r="E61" s="315"/>
      <c r="F61" s="60"/>
      <c r="G61" s="60"/>
      <c r="H61" s="52">
        <f>H60/H37/1000000</f>
        <v>4.2719162059815227E-2</v>
      </c>
      <c r="I61" s="52">
        <f>I60/I37/1000000</f>
        <v>5.7676636444394989E-2</v>
      </c>
      <c r="J61" s="52">
        <f t="shared" ref="J61:AH61" si="13">J60/J37/1000000</f>
        <v>7.2333735474818792E-2</v>
      </c>
      <c r="K61" s="52">
        <f t="shared" si="13"/>
        <v>0.10177232192913536</v>
      </c>
      <c r="L61" s="52">
        <f t="shared" si="13"/>
        <v>0.11569277520363755</v>
      </c>
      <c r="M61" s="52">
        <f t="shared" si="13"/>
        <v>0.14410789629325657</v>
      </c>
      <c r="N61" s="52">
        <f t="shared" si="13"/>
        <v>0.15731504291977744</v>
      </c>
      <c r="O61" s="52">
        <f t="shared" si="13"/>
        <v>0.18473560186296684</v>
      </c>
      <c r="P61" s="52">
        <f t="shared" si="13"/>
        <v>0.20083854988014255</v>
      </c>
      <c r="Q61" s="52">
        <f t="shared" si="13"/>
        <v>0.23080809303764616</v>
      </c>
      <c r="R61" s="52">
        <f t="shared" si="13"/>
        <v>0.24610154627014819</v>
      </c>
      <c r="S61" s="52">
        <f t="shared" si="13"/>
        <v>0.26106953281840334</v>
      </c>
      <c r="T61" s="52">
        <f t="shared" si="13"/>
        <v>0.2688240733971678</v>
      </c>
      <c r="U61" s="52">
        <f t="shared" si="13"/>
        <v>0.27639946617378253</v>
      </c>
      <c r="V61" s="52">
        <f t="shared" si="13"/>
        <v>0.28379849845492894</v>
      </c>
      <c r="W61" s="52">
        <f t="shared" si="13"/>
        <v>0.29102391991488469</v>
      </c>
      <c r="X61" s="52">
        <f t="shared" si="13"/>
        <v>0.29807844306748177</v>
      </c>
      <c r="Y61" s="52">
        <f t="shared" si="13"/>
        <v>0.30496474373240706</v>
      </c>
      <c r="Z61" s="52">
        <f t="shared" si="13"/>
        <v>0.3116854614959127</v>
      </c>
      <c r="AA61" s="52">
        <f t="shared" si="13"/>
        <v>0.318243200166</v>
      </c>
      <c r="AB61" s="52">
        <f t="shared" si="13"/>
        <v>0.32464052822214218</v>
      </c>
      <c r="AC61" s="52">
        <f t="shared" si="13"/>
        <v>0.3308799792596091</v>
      </c>
      <c r="AD61" s="52">
        <f t="shared" si="13"/>
        <v>0.33696405242845623</v>
      </c>
      <c r="AE61" s="52">
        <f t="shared" si="13"/>
        <v>0.34289521286724095</v>
      </c>
      <c r="AF61" s="52">
        <f t="shared" si="13"/>
        <v>0.34867589213152678</v>
      </c>
      <c r="AG61" s="52">
        <f t="shared" si="13"/>
        <v>0.35430848861723668</v>
      </c>
      <c r="AH61" s="318">
        <f t="shared" si="13"/>
        <v>0.35979536797891515</v>
      </c>
    </row>
    <row r="62" spans="2:36" x14ac:dyDescent="0.25">
      <c r="B62" s="157" t="s">
        <v>32</v>
      </c>
      <c r="C62" s="111"/>
      <c r="D62" s="187"/>
      <c r="E62" s="315"/>
      <c r="F62" s="60"/>
      <c r="G62" s="60"/>
      <c r="H62" s="34">
        <v>65</v>
      </c>
      <c r="I62" s="62">
        <f>H62</f>
        <v>65</v>
      </c>
      <c r="J62" s="62">
        <v>65</v>
      </c>
      <c r="K62" s="62">
        <f>J62*0.97</f>
        <v>63.05</v>
      </c>
      <c r="L62" s="62">
        <f t="shared" ref="L62:AH62" si="14">K62*0.97</f>
        <v>61.158499999999997</v>
      </c>
      <c r="M62" s="62">
        <f t="shared" si="14"/>
        <v>59.323744999999995</v>
      </c>
      <c r="N62" s="62">
        <f t="shared" si="14"/>
        <v>57.544032649999991</v>
      </c>
      <c r="O62" s="62">
        <f t="shared" si="14"/>
        <v>55.817711670499989</v>
      </c>
      <c r="P62" s="62">
        <f t="shared" si="14"/>
        <v>54.143180320384985</v>
      </c>
      <c r="Q62" s="62">
        <f t="shared" si="14"/>
        <v>52.518884910773437</v>
      </c>
      <c r="R62" s="62">
        <f t="shared" si="14"/>
        <v>50.943318363450231</v>
      </c>
      <c r="S62" s="62">
        <f t="shared" si="14"/>
        <v>49.41501881254672</v>
      </c>
      <c r="T62" s="62">
        <f t="shared" si="14"/>
        <v>47.93256824817032</v>
      </c>
      <c r="U62" s="62">
        <f t="shared" si="14"/>
        <v>46.49459120072521</v>
      </c>
      <c r="V62" s="62">
        <f t="shared" si="14"/>
        <v>45.099753464703454</v>
      </c>
      <c r="W62" s="62">
        <f t="shared" si="14"/>
        <v>43.74676086076235</v>
      </c>
      <c r="X62" s="62">
        <f t="shared" si="14"/>
        <v>42.434358034939478</v>
      </c>
      <c r="Y62" s="62">
        <f t="shared" si="14"/>
        <v>41.16132729389129</v>
      </c>
      <c r="Z62" s="62">
        <f t="shared" si="14"/>
        <v>39.926487475074552</v>
      </c>
      <c r="AA62" s="62">
        <f t="shared" si="14"/>
        <v>38.728692850822313</v>
      </c>
      <c r="AB62" s="62">
        <f t="shared" si="14"/>
        <v>37.566832065297639</v>
      </c>
      <c r="AC62" s="62">
        <f t="shared" si="14"/>
        <v>36.439827103338708</v>
      </c>
      <c r="AD62" s="62">
        <f t="shared" si="14"/>
        <v>35.346632290238546</v>
      </c>
      <c r="AE62" s="62">
        <f t="shared" si="14"/>
        <v>34.286233321531391</v>
      </c>
      <c r="AF62" s="62">
        <f t="shared" si="14"/>
        <v>33.257646321885446</v>
      </c>
      <c r="AG62" s="62">
        <f t="shared" si="14"/>
        <v>32.259916932228883</v>
      </c>
      <c r="AH62" s="319">
        <f t="shared" si="14"/>
        <v>31.292119424262015</v>
      </c>
    </row>
    <row r="63" spans="2:36" ht="18.75" x14ac:dyDescent="0.3">
      <c r="B63" s="156" t="s">
        <v>46</v>
      </c>
      <c r="C63" s="162" t="s">
        <v>62</v>
      </c>
      <c r="D63" s="187"/>
      <c r="E63" s="315"/>
      <c r="F63" s="60"/>
      <c r="G63" s="60"/>
      <c r="H63" s="35">
        <f>IF($C$63="yes",H60*H62/1000000,0)</f>
        <v>0</v>
      </c>
      <c r="I63" s="35">
        <f t="shared" ref="I63:AH63" si="15">IF($C$63="yes",I60*I62/1000000,0)</f>
        <v>0</v>
      </c>
      <c r="J63" s="35">
        <f t="shared" si="15"/>
        <v>0</v>
      </c>
      <c r="K63" s="35">
        <f t="shared" si="15"/>
        <v>0</v>
      </c>
      <c r="L63" s="35">
        <f t="shared" si="15"/>
        <v>0</v>
      </c>
      <c r="M63" s="35">
        <f t="shared" si="15"/>
        <v>0</v>
      </c>
      <c r="N63" s="35">
        <f t="shared" si="15"/>
        <v>0</v>
      </c>
      <c r="O63" s="35">
        <f t="shared" si="15"/>
        <v>0</v>
      </c>
      <c r="P63" s="35">
        <f t="shared" si="15"/>
        <v>0</v>
      </c>
      <c r="Q63" s="35">
        <f t="shared" si="15"/>
        <v>0</v>
      </c>
      <c r="R63" s="35">
        <f t="shared" si="15"/>
        <v>0</v>
      </c>
      <c r="S63" s="35">
        <f t="shared" si="15"/>
        <v>0</v>
      </c>
      <c r="T63" s="35">
        <f t="shared" si="15"/>
        <v>0</v>
      </c>
      <c r="U63" s="35">
        <f t="shared" si="15"/>
        <v>0</v>
      </c>
      <c r="V63" s="35">
        <f t="shared" si="15"/>
        <v>0</v>
      </c>
      <c r="W63" s="35">
        <f t="shared" si="15"/>
        <v>0</v>
      </c>
      <c r="X63" s="35">
        <f t="shared" si="15"/>
        <v>0</v>
      </c>
      <c r="Y63" s="35">
        <f t="shared" si="15"/>
        <v>0</v>
      </c>
      <c r="Z63" s="35">
        <f t="shared" si="15"/>
        <v>0</v>
      </c>
      <c r="AA63" s="35">
        <f t="shared" si="15"/>
        <v>0</v>
      </c>
      <c r="AB63" s="35">
        <f t="shared" si="15"/>
        <v>0</v>
      </c>
      <c r="AC63" s="35">
        <f t="shared" si="15"/>
        <v>0</v>
      </c>
      <c r="AD63" s="35">
        <f t="shared" si="15"/>
        <v>0</v>
      </c>
      <c r="AE63" s="35">
        <f t="shared" si="15"/>
        <v>0</v>
      </c>
      <c r="AF63" s="35">
        <f t="shared" si="15"/>
        <v>0</v>
      </c>
      <c r="AG63" s="35">
        <f t="shared" si="15"/>
        <v>0</v>
      </c>
      <c r="AH63" s="320">
        <f t="shared" si="15"/>
        <v>0</v>
      </c>
      <c r="AI63" s="16"/>
      <c r="AJ63" s="90">
        <f>SUM(D63:AH63)</f>
        <v>0</v>
      </c>
    </row>
    <row r="64" spans="2:36" x14ac:dyDescent="0.25">
      <c r="B64" s="56"/>
      <c r="C64" s="109"/>
      <c r="D64" s="172"/>
      <c r="E64" s="321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322"/>
    </row>
    <row r="65" spans="2:36" ht="18.75" x14ac:dyDescent="0.3">
      <c r="B65" s="72" t="s">
        <v>27</v>
      </c>
      <c r="C65" s="109"/>
      <c r="D65" s="172"/>
      <c r="E65" s="321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322"/>
    </row>
    <row r="66" spans="2:36" ht="18.75" x14ac:dyDescent="0.3">
      <c r="B66" s="43" t="s">
        <v>47</v>
      </c>
      <c r="C66" s="115"/>
      <c r="D66" s="188"/>
      <c r="E66" s="323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322"/>
    </row>
    <row r="67" spans="2:36" x14ac:dyDescent="0.25">
      <c r="B67" s="343" t="s">
        <v>9</v>
      </c>
      <c r="C67" s="337"/>
      <c r="D67" s="338">
        <v>0.16028999999999999</v>
      </c>
      <c r="E67" s="339">
        <v>0.21</v>
      </c>
      <c r="F67" s="340">
        <v>0.245</v>
      </c>
      <c r="G67" s="340">
        <v>0.28000000000000003</v>
      </c>
      <c r="H67" s="340">
        <v>0.315</v>
      </c>
      <c r="I67" s="340">
        <v>0.35</v>
      </c>
      <c r="J67" s="340">
        <v>0.38</v>
      </c>
      <c r="K67" s="340">
        <v>0.41</v>
      </c>
      <c r="L67" s="340">
        <v>0.44</v>
      </c>
      <c r="M67" s="340">
        <v>0.47</v>
      </c>
      <c r="N67" s="340">
        <v>0.5</v>
      </c>
      <c r="O67" s="340">
        <f>N67+0.025</f>
        <v>0.52500000000000002</v>
      </c>
      <c r="P67" s="340">
        <f t="shared" ref="P67:AH67" si="16">O67+0.025</f>
        <v>0.55000000000000004</v>
      </c>
      <c r="Q67" s="340">
        <f t="shared" si="16"/>
        <v>0.57500000000000007</v>
      </c>
      <c r="R67" s="340">
        <f t="shared" si="16"/>
        <v>0.60000000000000009</v>
      </c>
      <c r="S67" s="340">
        <f t="shared" si="16"/>
        <v>0.62500000000000011</v>
      </c>
      <c r="T67" s="340">
        <f t="shared" si="16"/>
        <v>0.65000000000000013</v>
      </c>
      <c r="U67" s="340">
        <f t="shared" si="16"/>
        <v>0.67500000000000016</v>
      </c>
      <c r="V67" s="340">
        <f t="shared" si="16"/>
        <v>0.70000000000000018</v>
      </c>
      <c r="W67" s="340">
        <f t="shared" si="16"/>
        <v>0.7250000000000002</v>
      </c>
      <c r="X67" s="340">
        <f t="shared" si="16"/>
        <v>0.75000000000000022</v>
      </c>
      <c r="Y67" s="340">
        <f t="shared" si="16"/>
        <v>0.77500000000000024</v>
      </c>
      <c r="Z67" s="340">
        <f t="shared" si="16"/>
        <v>0.80000000000000027</v>
      </c>
      <c r="AA67" s="340">
        <f t="shared" si="16"/>
        <v>0.82500000000000029</v>
      </c>
      <c r="AB67" s="340">
        <f t="shared" si="16"/>
        <v>0.85000000000000031</v>
      </c>
      <c r="AC67" s="340">
        <f t="shared" si="16"/>
        <v>0.87500000000000033</v>
      </c>
      <c r="AD67" s="340">
        <f t="shared" si="16"/>
        <v>0.90000000000000036</v>
      </c>
      <c r="AE67" s="340">
        <f t="shared" si="16"/>
        <v>0.92500000000000038</v>
      </c>
      <c r="AF67" s="340">
        <f t="shared" si="16"/>
        <v>0.9500000000000004</v>
      </c>
      <c r="AG67" s="340">
        <f t="shared" si="16"/>
        <v>0.97500000000000042</v>
      </c>
      <c r="AH67" s="341">
        <f t="shared" si="16"/>
        <v>1.0000000000000004</v>
      </c>
    </row>
    <row r="68" spans="2:36" x14ac:dyDescent="0.25">
      <c r="B68" s="343" t="s">
        <v>21</v>
      </c>
      <c r="C68" s="337"/>
      <c r="D68" s="338">
        <f t="shared" ref="D68:AH68" si="17">D67-D38-D45-D50-D61</f>
        <v>0.10966177747625508</v>
      </c>
      <c r="E68" s="339">
        <f t="shared" si="17"/>
        <v>0.15350273385547511</v>
      </c>
      <c r="F68" s="340">
        <f t="shared" si="17"/>
        <v>0.18202843268219243</v>
      </c>
      <c r="G68" s="340">
        <f t="shared" si="17"/>
        <v>0.20576195684866672</v>
      </c>
      <c r="H68" s="340">
        <f t="shared" si="17"/>
        <v>0.18846642632971622</v>
      </c>
      <c r="I68" s="340">
        <f t="shared" si="17"/>
        <v>0.19755987428640467</v>
      </c>
      <c r="J68" s="340">
        <f t="shared" si="17"/>
        <v>0.20353652271892703</v>
      </c>
      <c r="K68" s="340">
        <f t="shared" si="17"/>
        <v>0.19277230208055757</v>
      </c>
      <c r="L68" s="340">
        <f t="shared" si="17"/>
        <v>0.20159674740608988</v>
      </c>
      <c r="M68" s="340">
        <f t="shared" si="17"/>
        <v>0.19594530012046354</v>
      </c>
      <c r="N68" s="340">
        <f t="shared" si="17"/>
        <v>0.20677153892881478</v>
      </c>
      <c r="O68" s="340">
        <f t="shared" si="17"/>
        <v>0.19644381376915426</v>
      </c>
      <c r="P68" s="340">
        <f t="shared" si="17"/>
        <v>0.19328660691973332</v>
      </c>
      <c r="Q68" s="340">
        <f t="shared" si="17"/>
        <v>0.17780927744246888</v>
      </c>
      <c r="R68" s="340">
        <f t="shared" si="17"/>
        <v>0.18534818000033532</v>
      </c>
      <c r="S68" s="340">
        <f t="shared" si="17"/>
        <v>0.18254646382031914</v>
      </c>
      <c r="T68" s="340">
        <f t="shared" si="17"/>
        <v>0.18728598194987717</v>
      </c>
      <c r="U68" s="340">
        <f t="shared" si="17"/>
        <v>0.19252640972605051</v>
      </c>
      <c r="V68" s="340">
        <f t="shared" si="17"/>
        <v>0.19825903155939179</v>
      </c>
      <c r="W68" s="340">
        <f t="shared" si="17"/>
        <v>0.20447526619904255</v>
      </c>
      <c r="X68" s="340">
        <f t="shared" si="17"/>
        <v>0.21116666477643242</v>
      </c>
      <c r="Y68" s="340">
        <f t="shared" si="17"/>
        <v>0.21832490887663397</v>
      </c>
      <c r="Z68" s="340">
        <f t="shared" si="17"/>
        <v>0.22594180863698898</v>
      </c>
      <c r="AA68" s="340">
        <f t="shared" si="17"/>
        <v>0.234009300872627</v>
      </c>
      <c r="AB68" s="340">
        <f t="shared" si="17"/>
        <v>0.24251944722850005</v>
      </c>
      <c r="AC68" s="340">
        <f t="shared" si="17"/>
        <v>0.25146443235756677</v>
      </c>
      <c r="AD68" s="340">
        <f t="shared" si="17"/>
        <v>0.26083656212476031</v>
      </c>
      <c r="AE68" s="340">
        <f t="shared" si="17"/>
        <v>0.27062826183638239</v>
      </c>
      <c r="AF68" s="340">
        <f t="shared" si="17"/>
        <v>0.28083207449456776</v>
      </c>
      <c r="AG68" s="340">
        <f t="shared" si="17"/>
        <v>0.2914406590764716</v>
      </c>
      <c r="AH68" s="341">
        <f t="shared" si="17"/>
        <v>0.30244678883783466</v>
      </c>
    </row>
    <row r="69" spans="2:36" x14ac:dyDescent="0.25">
      <c r="B69" s="343" t="s">
        <v>110</v>
      </c>
      <c r="C69" s="337"/>
      <c r="D69" s="175">
        <f>D70*1000000</f>
        <v>8082072.9999999991</v>
      </c>
      <c r="E69" s="298">
        <f>E70*1000000</f>
        <v>11426283</v>
      </c>
      <c r="F69" s="136">
        <f t="shared" ref="F69:AH69" si="18">F70*1000000</f>
        <v>13685146.948000001</v>
      </c>
      <c r="G69" s="136">
        <f t="shared" si="18"/>
        <v>15624160.467861284</v>
      </c>
      <c r="H69" s="136">
        <f t="shared" si="18"/>
        <v>14453964.329494627</v>
      </c>
      <c r="I69" s="136">
        <f t="shared" si="18"/>
        <v>15302877.365479836</v>
      </c>
      <c r="J69" s="136">
        <f t="shared" si="18"/>
        <v>15923483.462380728</v>
      </c>
      <c r="K69" s="136">
        <f t="shared" si="18"/>
        <v>15232168.597613411</v>
      </c>
      <c r="L69" s="136">
        <f t="shared" si="18"/>
        <v>16088738.725422161</v>
      </c>
      <c r="M69" s="136">
        <f t="shared" si="18"/>
        <v>15794093.438818604</v>
      </c>
      <c r="N69" s="136">
        <f t="shared" si="18"/>
        <v>16833405.518609058</v>
      </c>
      <c r="O69" s="136">
        <f t="shared" si="18"/>
        <v>16152544.880638029</v>
      </c>
      <c r="P69" s="136">
        <f t="shared" si="18"/>
        <v>16051873.757316241</v>
      </c>
      <c r="Q69" s="136">
        <f t="shared" si="18"/>
        <v>14914193.182185162</v>
      </c>
      <c r="R69" s="136">
        <f t="shared" si="18"/>
        <v>15702002.664173119</v>
      </c>
      <c r="S69" s="136">
        <f t="shared" si="18"/>
        <v>15619298.294966888</v>
      </c>
      <c r="T69" s="136">
        <f t="shared" si="18"/>
        <v>16185075.913792957</v>
      </c>
      <c r="U69" s="136">
        <f t="shared" si="18"/>
        <v>16804328.170362886</v>
      </c>
      <c r="V69" s="136">
        <f t="shared" si="18"/>
        <v>17477736.857717302</v>
      </c>
      <c r="W69" s="136">
        <f t="shared" si="18"/>
        <v>18205993.023942828</v>
      </c>
      <c r="X69" s="136">
        <f t="shared" si="18"/>
        <v>18989797.085224554</v>
      </c>
      <c r="Y69" s="136">
        <f t="shared" si="18"/>
        <v>19829858.940249436</v>
      </c>
      <c r="Z69" s="136">
        <f t="shared" si="18"/>
        <v>20726898.085976444</v>
      </c>
      <c r="AA69" s="136">
        <f t="shared" si="18"/>
        <v>21681643.734789204</v>
      </c>
      <c r="AB69" s="136">
        <f t="shared" si="18"/>
        <v>22694834.933047049</v>
      </c>
      <c r="AC69" s="136">
        <f t="shared" si="18"/>
        <v>23767220.681050852</v>
      </c>
      <c r="AD69" s="136">
        <f t="shared" si="18"/>
        <v>24899560.054439869</v>
      </c>
      <c r="AE69" s="136">
        <f t="shared" si="18"/>
        <v>26092622.327036321</v>
      </c>
      <c r="AF69" s="136">
        <f t="shared" si="18"/>
        <v>27347187.095154226</v>
      </c>
      <c r="AG69" s="136">
        <f t="shared" si="18"/>
        <v>28664044.403389648</v>
      </c>
      <c r="AH69" s="299">
        <f t="shared" si="18"/>
        <v>30043994.871909399</v>
      </c>
    </row>
    <row r="70" spans="2:36" x14ac:dyDescent="0.25">
      <c r="B70" s="343" t="s">
        <v>11</v>
      </c>
      <c r="C70" s="116"/>
      <c r="D70" s="189">
        <f t="shared" ref="D70:AH70" si="19">D68*D37</f>
        <v>8.0820729999999994</v>
      </c>
      <c r="E70" s="324">
        <f t="shared" si="19"/>
        <v>11.426283</v>
      </c>
      <c r="F70" s="23">
        <f t="shared" si="19"/>
        <v>13.685146948000002</v>
      </c>
      <c r="G70" s="23">
        <f t="shared" si="19"/>
        <v>15.624160467861284</v>
      </c>
      <c r="H70" s="23">
        <f t="shared" si="19"/>
        <v>14.453964329494628</v>
      </c>
      <c r="I70" s="23">
        <f t="shared" si="19"/>
        <v>15.302877365479837</v>
      </c>
      <c r="J70" s="23">
        <f t="shared" si="19"/>
        <v>15.923483462380728</v>
      </c>
      <c r="K70" s="23">
        <f t="shared" si="19"/>
        <v>15.232168597613411</v>
      </c>
      <c r="L70" s="23">
        <f t="shared" si="19"/>
        <v>16.088738725422161</v>
      </c>
      <c r="M70" s="23">
        <f t="shared" si="19"/>
        <v>15.794093438818603</v>
      </c>
      <c r="N70" s="23">
        <f t="shared" si="19"/>
        <v>16.833405518609059</v>
      </c>
      <c r="O70" s="23">
        <f t="shared" si="19"/>
        <v>16.152544880638029</v>
      </c>
      <c r="P70" s="23">
        <f t="shared" si="19"/>
        <v>16.05187375731624</v>
      </c>
      <c r="Q70" s="23">
        <f t="shared" si="19"/>
        <v>14.914193182185162</v>
      </c>
      <c r="R70" s="23">
        <f t="shared" si="19"/>
        <v>15.702002664173119</v>
      </c>
      <c r="S70" s="23">
        <f t="shared" si="19"/>
        <v>15.619298294966887</v>
      </c>
      <c r="T70" s="23">
        <f t="shared" si="19"/>
        <v>16.185075913792957</v>
      </c>
      <c r="U70" s="23">
        <f t="shared" si="19"/>
        <v>16.804328170362886</v>
      </c>
      <c r="V70" s="23">
        <f t="shared" si="19"/>
        <v>17.4777368577173</v>
      </c>
      <c r="W70" s="23">
        <f t="shared" si="19"/>
        <v>18.205993023942828</v>
      </c>
      <c r="X70" s="23">
        <f t="shared" si="19"/>
        <v>18.989797085224552</v>
      </c>
      <c r="Y70" s="23">
        <f t="shared" si="19"/>
        <v>19.829858940249437</v>
      </c>
      <c r="Z70" s="23">
        <f t="shared" si="19"/>
        <v>20.726898085976444</v>
      </c>
      <c r="AA70" s="23">
        <f t="shared" si="19"/>
        <v>21.681643734789205</v>
      </c>
      <c r="AB70" s="23">
        <f t="shared" si="19"/>
        <v>22.694834933047048</v>
      </c>
      <c r="AC70" s="23">
        <f t="shared" si="19"/>
        <v>23.767220681050851</v>
      </c>
      <c r="AD70" s="23">
        <f t="shared" si="19"/>
        <v>24.899560054439867</v>
      </c>
      <c r="AE70" s="23">
        <f t="shared" si="19"/>
        <v>26.09262232703632</v>
      </c>
      <c r="AF70" s="23">
        <f t="shared" si="19"/>
        <v>27.347187095154226</v>
      </c>
      <c r="AG70" s="23">
        <f t="shared" si="19"/>
        <v>28.664044403389646</v>
      </c>
      <c r="AH70" s="46">
        <f t="shared" si="19"/>
        <v>30.043994871909398</v>
      </c>
    </row>
    <row r="71" spans="2:36" x14ac:dyDescent="0.25">
      <c r="B71" s="343" t="s">
        <v>8</v>
      </c>
      <c r="C71" s="117"/>
      <c r="D71" s="190">
        <v>7.5</v>
      </c>
      <c r="E71" s="325">
        <v>10</v>
      </c>
      <c r="F71" s="48">
        <v>11</v>
      </c>
      <c r="G71" s="48">
        <v>11</v>
      </c>
      <c r="H71" s="48">
        <v>11</v>
      </c>
      <c r="I71" s="48">
        <v>11</v>
      </c>
      <c r="J71" s="48">
        <v>11</v>
      </c>
      <c r="K71" s="48">
        <v>11</v>
      </c>
      <c r="L71" s="48">
        <v>11</v>
      </c>
      <c r="M71" s="48">
        <v>11</v>
      </c>
      <c r="N71" s="48">
        <v>11</v>
      </c>
      <c r="O71" s="48">
        <v>11</v>
      </c>
      <c r="P71" s="48">
        <v>11</v>
      </c>
      <c r="Q71" s="48">
        <v>11</v>
      </c>
      <c r="R71" s="48">
        <v>11</v>
      </c>
      <c r="S71" s="48">
        <v>11</v>
      </c>
      <c r="T71" s="48">
        <v>11</v>
      </c>
      <c r="U71" s="48">
        <v>11</v>
      </c>
      <c r="V71" s="48">
        <v>11</v>
      </c>
      <c r="W71" s="48">
        <v>11</v>
      </c>
      <c r="X71" s="48">
        <v>11</v>
      </c>
      <c r="Y71" s="48">
        <v>11</v>
      </c>
      <c r="Z71" s="48">
        <v>11</v>
      </c>
      <c r="AA71" s="48">
        <v>11</v>
      </c>
      <c r="AB71" s="48">
        <v>11</v>
      </c>
      <c r="AC71" s="48">
        <v>11</v>
      </c>
      <c r="AD71" s="48">
        <v>11</v>
      </c>
      <c r="AE71" s="48">
        <v>11</v>
      </c>
      <c r="AF71" s="48">
        <v>11</v>
      </c>
      <c r="AG71" s="48">
        <v>11</v>
      </c>
      <c r="AH71" s="326">
        <v>11</v>
      </c>
    </row>
    <row r="72" spans="2:36" ht="18.75" x14ac:dyDescent="0.3">
      <c r="B72" s="344" t="s">
        <v>45</v>
      </c>
      <c r="C72" s="162" t="s">
        <v>62</v>
      </c>
      <c r="D72" s="177">
        <f>IF($C$72="yes",D71*D70,0)</f>
        <v>0</v>
      </c>
      <c r="E72" s="342">
        <f t="shared" ref="E72:AH72" si="20">IF($C$72="yes",E71*E70,0)</f>
        <v>0</v>
      </c>
      <c r="F72" s="35">
        <f t="shared" si="20"/>
        <v>0</v>
      </c>
      <c r="G72" s="35">
        <f t="shared" si="20"/>
        <v>0</v>
      </c>
      <c r="H72" s="35">
        <f t="shared" si="20"/>
        <v>0</v>
      </c>
      <c r="I72" s="35">
        <f t="shared" si="20"/>
        <v>0</v>
      </c>
      <c r="J72" s="35">
        <f t="shared" si="20"/>
        <v>0</v>
      </c>
      <c r="K72" s="35">
        <f t="shared" si="20"/>
        <v>0</v>
      </c>
      <c r="L72" s="35">
        <f t="shared" si="20"/>
        <v>0</v>
      </c>
      <c r="M72" s="35">
        <f t="shared" si="20"/>
        <v>0</v>
      </c>
      <c r="N72" s="35">
        <f t="shared" si="20"/>
        <v>0</v>
      </c>
      <c r="O72" s="35">
        <f t="shared" si="20"/>
        <v>0</v>
      </c>
      <c r="P72" s="35">
        <f t="shared" si="20"/>
        <v>0</v>
      </c>
      <c r="Q72" s="35">
        <f t="shared" si="20"/>
        <v>0</v>
      </c>
      <c r="R72" s="35">
        <f t="shared" si="20"/>
        <v>0</v>
      </c>
      <c r="S72" s="35">
        <f t="shared" si="20"/>
        <v>0</v>
      </c>
      <c r="T72" s="35">
        <f t="shared" si="20"/>
        <v>0</v>
      </c>
      <c r="U72" s="35">
        <f t="shared" si="20"/>
        <v>0</v>
      </c>
      <c r="V72" s="35">
        <f t="shared" si="20"/>
        <v>0</v>
      </c>
      <c r="W72" s="35">
        <f t="shared" si="20"/>
        <v>0</v>
      </c>
      <c r="X72" s="35">
        <f t="shared" si="20"/>
        <v>0</v>
      </c>
      <c r="Y72" s="35">
        <f t="shared" si="20"/>
        <v>0</v>
      </c>
      <c r="Z72" s="35">
        <f t="shared" si="20"/>
        <v>0</v>
      </c>
      <c r="AA72" s="35">
        <f t="shared" si="20"/>
        <v>0</v>
      </c>
      <c r="AB72" s="35">
        <f t="shared" si="20"/>
        <v>0</v>
      </c>
      <c r="AC72" s="35">
        <f t="shared" si="20"/>
        <v>0</v>
      </c>
      <c r="AD72" s="35">
        <f t="shared" si="20"/>
        <v>0</v>
      </c>
      <c r="AE72" s="35">
        <f t="shared" si="20"/>
        <v>0</v>
      </c>
      <c r="AF72" s="35">
        <f t="shared" si="20"/>
        <v>0</v>
      </c>
      <c r="AG72" s="35">
        <f t="shared" si="20"/>
        <v>0</v>
      </c>
      <c r="AH72" s="320">
        <f t="shared" si="20"/>
        <v>0</v>
      </c>
      <c r="AI72" s="16"/>
      <c r="AJ72" s="90">
        <f>SUM(D72:AH72)</f>
        <v>0</v>
      </c>
    </row>
    <row r="73" spans="2:36" x14ac:dyDescent="0.25">
      <c r="B73" s="25"/>
      <c r="C73" s="115"/>
      <c r="D73" s="188"/>
      <c r="E73" s="327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294"/>
    </row>
    <row r="74" spans="2:36" ht="18.75" x14ac:dyDescent="0.3">
      <c r="B74" s="72" t="s">
        <v>28</v>
      </c>
      <c r="C74" s="109"/>
      <c r="D74" s="182"/>
      <c r="E74" s="328"/>
      <c r="F74" s="81"/>
      <c r="G74" s="82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329"/>
    </row>
    <row r="75" spans="2:36" x14ac:dyDescent="0.25">
      <c r="B75" s="345" t="s">
        <v>111</v>
      </c>
      <c r="C75" s="111"/>
      <c r="D75" s="191">
        <f>(1176+1138+636)*8760*0.92</f>
        <v>23774640</v>
      </c>
      <c r="E75" s="312">
        <f>(1176+1138+636)*8760*0.92</f>
        <v>23774640</v>
      </c>
      <c r="F75" s="138">
        <f>(1176+1138+636)*8760*0.92</f>
        <v>23774640</v>
      </c>
      <c r="G75" s="138">
        <f t="shared" ref="G75:T75" si="21">(1176+1138+636)*8760*0.92</f>
        <v>23774640</v>
      </c>
      <c r="H75" s="138">
        <f t="shared" si="21"/>
        <v>23774640</v>
      </c>
      <c r="I75" s="138">
        <f t="shared" si="21"/>
        <v>23774640</v>
      </c>
      <c r="J75" s="138">
        <f t="shared" si="21"/>
        <v>23774640</v>
      </c>
      <c r="K75" s="138">
        <f t="shared" si="21"/>
        <v>23774640</v>
      </c>
      <c r="L75" s="138">
        <f t="shared" si="21"/>
        <v>23774640</v>
      </c>
      <c r="M75" s="138">
        <f t="shared" si="21"/>
        <v>23774640</v>
      </c>
      <c r="N75" s="138">
        <f t="shared" si="21"/>
        <v>23774640</v>
      </c>
      <c r="O75" s="138">
        <f t="shared" si="21"/>
        <v>23774640</v>
      </c>
      <c r="P75" s="138">
        <f t="shared" si="21"/>
        <v>23774640</v>
      </c>
      <c r="Q75" s="138">
        <f t="shared" si="21"/>
        <v>23774640</v>
      </c>
      <c r="R75" s="138">
        <f t="shared" si="21"/>
        <v>23774640</v>
      </c>
      <c r="S75" s="138">
        <f t="shared" si="21"/>
        <v>23774640</v>
      </c>
      <c r="T75" s="138">
        <f t="shared" si="21"/>
        <v>23774640</v>
      </c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317"/>
    </row>
    <row r="76" spans="2:36" ht="18.75" x14ac:dyDescent="0.3">
      <c r="B76" s="346" t="s">
        <v>23</v>
      </c>
      <c r="C76" s="162" t="s">
        <v>62</v>
      </c>
      <c r="D76" s="192">
        <f>IF($C$76="yes",D37*4,0)</f>
        <v>0</v>
      </c>
      <c r="E76" s="330">
        <f t="shared" ref="E76:L76" si="22">IF($C$76="yes",E37*4,0)</f>
        <v>0</v>
      </c>
      <c r="F76" s="63">
        <f t="shared" si="22"/>
        <v>0</v>
      </c>
      <c r="G76" s="63">
        <f t="shared" si="22"/>
        <v>0</v>
      </c>
      <c r="H76" s="63">
        <f t="shared" si="22"/>
        <v>0</v>
      </c>
      <c r="I76" s="63">
        <f t="shared" si="22"/>
        <v>0</v>
      </c>
      <c r="J76" s="63">
        <f t="shared" si="22"/>
        <v>0</v>
      </c>
      <c r="K76" s="63">
        <f t="shared" si="22"/>
        <v>0</v>
      </c>
      <c r="L76" s="63">
        <f t="shared" si="22"/>
        <v>0</v>
      </c>
      <c r="M76" s="63">
        <f>IF($C$76="yes",M37*2.5,0)</f>
        <v>0</v>
      </c>
      <c r="N76" s="63">
        <f t="shared" ref="N76:T76" si="23">IF($C$76="yes",N37*2.5,0)</f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3"/>
        <v>0</v>
      </c>
      <c r="S76" s="63">
        <f t="shared" si="23"/>
        <v>0</v>
      </c>
      <c r="T76" s="63">
        <f t="shared" si="23"/>
        <v>0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00"/>
      <c r="AI76" s="16"/>
      <c r="AJ76" s="90">
        <f>SUM(D76:AH76)</f>
        <v>0</v>
      </c>
    </row>
    <row r="77" spans="2:36" x14ac:dyDescent="0.25">
      <c r="B77" s="27"/>
      <c r="C77" s="118"/>
      <c r="D77" s="172"/>
      <c r="E77" s="29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294"/>
    </row>
    <row r="78" spans="2:36" x14ac:dyDescent="0.25">
      <c r="C78" s="118"/>
      <c r="D78" s="172"/>
      <c r="E78" s="29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294"/>
    </row>
    <row r="79" spans="2:36" ht="18.75" x14ac:dyDescent="0.3">
      <c r="B79" s="72" t="s">
        <v>115</v>
      </c>
      <c r="C79" s="118"/>
      <c r="D79" s="172"/>
      <c r="E79" s="29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294"/>
    </row>
    <row r="80" spans="2:36" x14ac:dyDescent="0.25">
      <c r="B80" s="163" t="s">
        <v>113</v>
      </c>
      <c r="C80" s="164"/>
      <c r="D80" s="193"/>
      <c r="E80" s="331">
        <v>0</v>
      </c>
      <c r="F80" s="52">
        <v>7.4999999999999997E-3</v>
      </c>
      <c r="G80" s="290">
        <f>F80+0.0075</f>
        <v>1.4999999999999999E-2</v>
      </c>
      <c r="H80" s="290">
        <f t="shared" ref="H80:AH80" si="24">G80+0.0075</f>
        <v>2.2499999999999999E-2</v>
      </c>
      <c r="I80" s="290">
        <f t="shared" si="24"/>
        <v>0.03</v>
      </c>
      <c r="J80" s="290">
        <f t="shared" si="24"/>
        <v>3.7499999999999999E-2</v>
      </c>
      <c r="K80" s="290">
        <f t="shared" si="24"/>
        <v>4.4999999999999998E-2</v>
      </c>
      <c r="L80" s="290">
        <f t="shared" si="24"/>
        <v>5.2499999999999998E-2</v>
      </c>
      <c r="M80" s="290">
        <f t="shared" si="24"/>
        <v>0.06</v>
      </c>
      <c r="N80" s="290">
        <f t="shared" si="24"/>
        <v>6.7500000000000004E-2</v>
      </c>
      <c r="O80" s="290">
        <f t="shared" si="24"/>
        <v>7.5000000000000011E-2</v>
      </c>
      <c r="P80" s="290">
        <f t="shared" si="24"/>
        <v>8.2500000000000018E-2</v>
      </c>
      <c r="Q80" s="290">
        <f t="shared" si="24"/>
        <v>9.0000000000000024E-2</v>
      </c>
      <c r="R80" s="290">
        <f t="shared" si="24"/>
        <v>9.7500000000000031E-2</v>
      </c>
      <c r="S80" s="290">
        <f t="shared" si="24"/>
        <v>0.10500000000000004</v>
      </c>
      <c r="T80" s="290">
        <f t="shared" si="24"/>
        <v>0.11250000000000004</v>
      </c>
      <c r="U80" s="290">
        <f t="shared" si="24"/>
        <v>0.12000000000000005</v>
      </c>
      <c r="V80" s="290">
        <f t="shared" si="24"/>
        <v>0.12750000000000006</v>
      </c>
      <c r="W80" s="290">
        <f t="shared" si="24"/>
        <v>0.13500000000000006</v>
      </c>
      <c r="X80" s="290">
        <f t="shared" si="24"/>
        <v>0.14250000000000007</v>
      </c>
      <c r="Y80" s="290">
        <f t="shared" si="24"/>
        <v>0.15000000000000008</v>
      </c>
      <c r="Z80" s="290">
        <f t="shared" si="24"/>
        <v>0.15750000000000008</v>
      </c>
      <c r="AA80" s="290">
        <f t="shared" si="24"/>
        <v>0.16500000000000009</v>
      </c>
      <c r="AB80" s="290">
        <f t="shared" si="24"/>
        <v>0.1725000000000001</v>
      </c>
      <c r="AC80" s="290">
        <f t="shared" si="24"/>
        <v>0.1800000000000001</v>
      </c>
      <c r="AD80" s="290">
        <f t="shared" si="24"/>
        <v>0.18750000000000011</v>
      </c>
      <c r="AE80" s="290">
        <f t="shared" si="24"/>
        <v>0.19500000000000012</v>
      </c>
      <c r="AF80" s="290">
        <f t="shared" si="24"/>
        <v>0.20250000000000012</v>
      </c>
      <c r="AG80" s="290">
        <f t="shared" si="24"/>
        <v>0.21000000000000013</v>
      </c>
      <c r="AH80" s="332">
        <f t="shared" si="24"/>
        <v>0.21750000000000014</v>
      </c>
    </row>
    <row r="81" spans="1:37" x14ac:dyDescent="0.25">
      <c r="B81" s="345" t="s">
        <v>112</v>
      </c>
      <c r="C81" s="348"/>
      <c r="D81" s="179"/>
      <c r="E81" s="331"/>
      <c r="F81" s="136">
        <f>F80*F37*1000000</f>
        <v>563860.27500000002</v>
      </c>
      <c r="G81" s="136">
        <f>G80*G37*1000000</f>
        <v>1138997.7555</v>
      </c>
      <c r="H81" s="136">
        <f t="shared" ref="H81:AH81" si="25">H80*H37*1000000</f>
        <v>1725581.5995825001</v>
      </c>
      <c r="I81" s="136">
        <f t="shared" si="25"/>
        <v>2323783.2207711004</v>
      </c>
      <c r="J81" s="136">
        <f t="shared" si="25"/>
        <v>2933776.3162235138</v>
      </c>
      <c r="K81" s="136">
        <f t="shared" si="25"/>
        <v>3555736.8952628989</v>
      </c>
      <c r="L81" s="136">
        <f t="shared" si="25"/>
        <v>4189843.3082514489</v>
      </c>
      <c r="M81" s="136">
        <f t="shared" si="25"/>
        <v>4836276.2758102445</v>
      </c>
      <c r="N81" s="136">
        <f t="shared" si="25"/>
        <v>5495218.9183893912</v>
      </c>
      <c r="O81" s="136">
        <f t="shared" si="25"/>
        <v>6166856.7861925401</v>
      </c>
      <c r="P81" s="136">
        <f t="shared" si="25"/>
        <v>6851377.8894599127</v>
      </c>
      <c r="Q81" s="136">
        <f t="shared" si="25"/>
        <v>7548972.7291140128</v>
      </c>
      <c r="R81" s="136">
        <f t="shared" si="25"/>
        <v>8259834.3277722495</v>
      </c>
      <c r="S81" s="136">
        <f t="shared" si="25"/>
        <v>8984158.261130739</v>
      </c>
      <c r="T81" s="136">
        <f t="shared" si="25"/>
        <v>9722142.6897236221</v>
      </c>
      <c r="U81" s="136">
        <f t="shared" si="25"/>
        <v>10473988.39106225</v>
      </c>
      <c r="V81" s="136">
        <f t="shared" si="25"/>
        <v>11239898.792158676</v>
      </c>
      <c r="W81" s="136">
        <f t="shared" si="25"/>
        <v>12020080.002437927</v>
      </c>
      <c r="X81" s="136">
        <f t="shared" si="25"/>
        <v>12814740.847043548</v>
      </c>
      <c r="Y81" s="136">
        <f t="shared" si="25"/>
        <v>13624092.900541034</v>
      </c>
      <c r="Z81" s="136">
        <f t="shared" si="25"/>
        <v>14448350.521023765</v>
      </c>
      <c r="AA81" s="136">
        <f t="shared" si="25"/>
        <v>15287730.884626098</v>
      </c>
      <c r="AB81" s="136">
        <f t="shared" si="25"/>
        <v>16142454.020448375</v>
      </c>
      <c r="AC81" s="136">
        <f t="shared" si="25"/>
        <v>17012742.845898636</v>
      </c>
      <c r="AD81" s="136">
        <f t="shared" si="25"/>
        <v>17898823.202455856</v>
      </c>
      <c r="AE81" s="136">
        <f t="shared" si="25"/>
        <v>18800923.891859632</v>
      </c>
      <c r="AF81" s="136">
        <f t="shared" si="25"/>
        <v>19719276.712731235</v>
      </c>
      <c r="AG81" s="136">
        <f t="shared" si="25"/>
        <v>20654116.497631088</v>
      </c>
      <c r="AH81" s="136">
        <f t="shared" si="25"/>
        <v>21605681.15055766</v>
      </c>
    </row>
    <row r="82" spans="1:37" ht="18.75" x14ac:dyDescent="0.3">
      <c r="B82" s="349" t="s">
        <v>114</v>
      </c>
      <c r="C82" s="162" t="s">
        <v>62</v>
      </c>
      <c r="D82" s="194">
        <f>IF($C$82="yes",150,0)</f>
        <v>0</v>
      </c>
      <c r="E82" s="333">
        <f>IF($C$82="yes",175,0)</f>
        <v>0</v>
      </c>
      <c r="F82" s="65">
        <f>IF($C$82="yes",200,0)</f>
        <v>0</v>
      </c>
      <c r="G82" s="65">
        <f>IF($C$82="yes",225,0)</f>
        <v>0</v>
      </c>
      <c r="H82" s="65">
        <f t="shared" ref="H82:K82" si="26">IF($C$82="yes",225,0)</f>
        <v>0</v>
      </c>
      <c r="I82" s="65">
        <f t="shared" si="26"/>
        <v>0</v>
      </c>
      <c r="J82" s="65">
        <f t="shared" si="26"/>
        <v>0</v>
      </c>
      <c r="K82" s="65">
        <f t="shared" si="26"/>
        <v>0</v>
      </c>
      <c r="L82" s="73">
        <f>IF($C$82="yes",K82*0.925,0)</f>
        <v>0</v>
      </c>
      <c r="M82" s="73">
        <f t="shared" ref="M82:AH82" si="27">IF($C$82="yes",L82*0.925,0)</f>
        <v>0</v>
      </c>
      <c r="N82" s="73">
        <f t="shared" si="27"/>
        <v>0</v>
      </c>
      <c r="O82" s="73">
        <f t="shared" si="27"/>
        <v>0</v>
      </c>
      <c r="P82" s="73">
        <f t="shared" si="27"/>
        <v>0</v>
      </c>
      <c r="Q82" s="73">
        <f t="shared" si="27"/>
        <v>0</v>
      </c>
      <c r="R82" s="73">
        <f t="shared" si="27"/>
        <v>0</v>
      </c>
      <c r="S82" s="73">
        <f t="shared" si="27"/>
        <v>0</v>
      </c>
      <c r="T82" s="73">
        <f t="shared" si="27"/>
        <v>0</v>
      </c>
      <c r="U82" s="73">
        <f t="shared" si="27"/>
        <v>0</v>
      </c>
      <c r="V82" s="73">
        <f t="shared" si="27"/>
        <v>0</v>
      </c>
      <c r="W82" s="73">
        <f t="shared" si="27"/>
        <v>0</v>
      </c>
      <c r="X82" s="73">
        <f t="shared" si="27"/>
        <v>0</v>
      </c>
      <c r="Y82" s="73">
        <f t="shared" si="27"/>
        <v>0</v>
      </c>
      <c r="Z82" s="73">
        <f t="shared" si="27"/>
        <v>0</v>
      </c>
      <c r="AA82" s="73">
        <f t="shared" si="27"/>
        <v>0</v>
      </c>
      <c r="AB82" s="73">
        <f t="shared" si="27"/>
        <v>0</v>
      </c>
      <c r="AC82" s="73">
        <f t="shared" si="27"/>
        <v>0</v>
      </c>
      <c r="AD82" s="73">
        <f t="shared" si="27"/>
        <v>0</v>
      </c>
      <c r="AE82" s="73">
        <f t="shared" si="27"/>
        <v>0</v>
      </c>
      <c r="AF82" s="73">
        <f t="shared" si="27"/>
        <v>0</v>
      </c>
      <c r="AG82" s="73">
        <f t="shared" si="27"/>
        <v>0</v>
      </c>
      <c r="AH82" s="334">
        <f t="shared" si="27"/>
        <v>0</v>
      </c>
      <c r="AI82" s="16"/>
      <c r="AJ82" s="90">
        <f>SUM(D82:AH82)</f>
        <v>0</v>
      </c>
    </row>
    <row r="83" spans="1:37" ht="18.75" x14ac:dyDescent="0.3">
      <c r="B83" s="350"/>
      <c r="C83" s="112"/>
      <c r="D83" s="172"/>
      <c r="E83" s="35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00"/>
    </row>
    <row r="84" spans="1:37" ht="18.75" x14ac:dyDescent="0.3">
      <c r="B84" s="349" t="s">
        <v>24</v>
      </c>
      <c r="C84" s="162" t="s">
        <v>60</v>
      </c>
      <c r="D84" s="195"/>
      <c r="E84" s="333"/>
      <c r="F84" s="65">
        <f>IF($C$84="yes",30,0)</f>
        <v>30</v>
      </c>
      <c r="G84" s="65">
        <f>IF($C$84="yes",60,0)</f>
        <v>60</v>
      </c>
      <c r="H84" s="65">
        <f>IF($C$84="yes",100,0)</f>
        <v>100</v>
      </c>
      <c r="I84" s="65">
        <f>IF($C$84="yes",125,0)</f>
        <v>125</v>
      </c>
      <c r="J84" s="65">
        <f>IF($C$84="yes",125,0)</f>
        <v>125</v>
      </c>
      <c r="K84" s="65">
        <f>IF($C$84="yes",150,0)</f>
        <v>150</v>
      </c>
      <c r="L84" s="65">
        <f>IF($C$84="yes",150,0)</f>
        <v>150</v>
      </c>
      <c r="M84" s="65">
        <f>IF($C$84="yes",175,0)</f>
        <v>175</v>
      </c>
      <c r="N84" s="65">
        <f>IF($C$84="yes",175,0)</f>
        <v>175</v>
      </c>
      <c r="O84" s="65">
        <f>IF($C$84="yes",200,0)</f>
        <v>200</v>
      </c>
      <c r="P84" s="65">
        <f>IF($C$84="yes",200,0)</f>
        <v>200</v>
      </c>
      <c r="Q84" s="65">
        <f>IF($C$84="yes",175,0)</f>
        <v>175</v>
      </c>
      <c r="R84" s="65">
        <f>IF($C$84="yes",175,0)</f>
        <v>175</v>
      </c>
      <c r="S84" s="65">
        <f>IF($C$84="yes",150,0)</f>
        <v>150</v>
      </c>
      <c r="T84" s="65">
        <f>IF($C$84="yes",150,0)</f>
        <v>150</v>
      </c>
      <c r="U84" s="65">
        <f>IF($C$84="yes",150,0)</f>
        <v>150</v>
      </c>
      <c r="V84" s="65">
        <f t="shared" ref="V84:AH84" si="28">IF($C$84="yes",125,0)</f>
        <v>125</v>
      </c>
      <c r="W84" s="65">
        <f t="shared" si="28"/>
        <v>125</v>
      </c>
      <c r="X84" s="65">
        <f t="shared" si="28"/>
        <v>125</v>
      </c>
      <c r="Y84" s="65">
        <f t="shared" si="28"/>
        <v>125</v>
      </c>
      <c r="Z84" s="65">
        <f t="shared" si="28"/>
        <v>125</v>
      </c>
      <c r="AA84" s="65">
        <f t="shared" si="28"/>
        <v>125</v>
      </c>
      <c r="AB84" s="65">
        <f t="shared" si="28"/>
        <v>125</v>
      </c>
      <c r="AC84" s="65">
        <f t="shared" si="28"/>
        <v>125</v>
      </c>
      <c r="AD84" s="65">
        <f t="shared" si="28"/>
        <v>125</v>
      </c>
      <c r="AE84" s="65">
        <f t="shared" si="28"/>
        <v>125</v>
      </c>
      <c r="AF84" s="65">
        <f t="shared" si="28"/>
        <v>125</v>
      </c>
      <c r="AG84" s="65">
        <f t="shared" si="28"/>
        <v>125</v>
      </c>
      <c r="AH84" s="335">
        <f t="shared" si="28"/>
        <v>125</v>
      </c>
      <c r="AI84" s="16"/>
      <c r="AJ84" s="90">
        <f>SUM(D84:AH84)</f>
        <v>3915</v>
      </c>
    </row>
    <row r="85" spans="1:37" ht="18.75" x14ac:dyDescent="0.3">
      <c r="B85" s="351"/>
      <c r="C85" s="352"/>
      <c r="D85" s="172"/>
      <c r="E85" s="303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00"/>
    </row>
    <row r="86" spans="1:37" ht="21" x14ac:dyDescent="0.3">
      <c r="B86" s="347" t="s">
        <v>157</v>
      </c>
      <c r="C86" s="120" t="s">
        <v>60</v>
      </c>
      <c r="D86" s="194">
        <f>IF($C$86="yes",20,0)</f>
        <v>20</v>
      </c>
      <c r="E86" s="333">
        <f>IF($C$86="yes",0,0)</f>
        <v>0</v>
      </c>
      <c r="F86" s="65">
        <f>IF($C$86="yes",10,0)</f>
        <v>10</v>
      </c>
      <c r="G86" s="66">
        <f>IF($C$86="yes",50,0)</f>
        <v>50</v>
      </c>
      <c r="H86" s="66">
        <f>IF($C$86="yes",75,0)</f>
        <v>75</v>
      </c>
      <c r="I86" s="66">
        <f>IF($C$86="yes",100,0)</f>
        <v>100</v>
      </c>
      <c r="J86" s="66">
        <f>IF($C$86="yes",125,0)</f>
        <v>125</v>
      </c>
      <c r="K86" s="66">
        <f>IF($C$86="yes",150,0)</f>
        <v>150</v>
      </c>
      <c r="L86" s="66">
        <f>IF($C$86="yes",175,0)</f>
        <v>175</v>
      </c>
      <c r="M86" s="66">
        <f>IF($C$86="yes",175,0)</f>
        <v>175</v>
      </c>
      <c r="N86" s="66">
        <f>IF($C$86="yes",200,0)</f>
        <v>200</v>
      </c>
      <c r="O86" s="66">
        <f>IF($C$86="yes",200,0)</f>
        <v>200</v>
      </c>
      <c r="P86" s="66">
        <f>IF($C$86="yes",225,0)</f>
        <v>225</v>
      </c>
      <c r="Q86" s="66">
        <f>IF($C$86="yes",225,0)</f>
        <v>225</v>
      </c>
      <c r="R86" s="66">
        <f>IF($C$86="yes",250,0)</f>
        <v>250</v>
      </c>
      <c r="S86" s="66">
        <f>IF($C$86="yes",250,0)</f>
        <v>250</v>
      </c>
      <c r="T86" s="66">
        <f>IF($C$86="yes",275,0)</f>
        <v>275</v>
      </c>
      <c r="U86" s="66">
        <f>IF($C$86="yes",275,0)</f>
        <v>275</v>
      </c>
      <c r="V86" s="66">
        <f>IF($C$86="yes",250,0)</f>
        <v>250</v>
      </c>
      <c r="W86" s="66">
        <f>IF($C$86="yes",225,0)</f>
        <v>225</v>
      </c>
      <c r="X86" s="66">
        <f>IF($C$86="yes",200,0)</f>
        <v>200</v>
      </c>
      <c r="Y86" s="66">
        <f>IF($C$86="yes",175,0)</f>
        <v>175</v>
      </c>
      <c r="Z86" s="66">
        <f>IF($C$86="yes",150,0)</f>
        <v>150</v>
      </c>
      <c r="AA86" s="66">
        <f>IF($C$86="yes",125,0)</f>
        <v>125</v>
      </c>
      <c r="AB86" s="66">
        <f t="shared" ref="AB86:AH86" si="29">IF($C$86="yes",125,0)</f>
        <v>125</v>
      </c>
      <c r="AC86" s="66">
        <f t="shared" si="29"/>
        <v>125</v>
      </c>
      <c r="AD86" s="66">
        <f t="shared" si="29"/>
        <v>125</v>
      </c>
      <c r="AE86" s="66">
        <f t="shared" si="29"/>
        <v>125</v>
      </c>
      <c r="AF86" s="66">
        <f t="shared" si="29"/>
        <v>125</v>
      </c>
      <c r="AG86" s="66">
        <f t="shared" si="29"/>
        <v>125</v>
      </c>
      <c r="AH86" s="336">
        <f t="shared" si="29"/>
        <v>125</v>
      </c>
      <c r="AI86" s="16"/>
      <c r="AJ86" s="90">
        <f>SUM(D86:AH86)</f>
        <v>4780</v>
      </c>
    </row>
    <row r="87" spans="1:37" ht="15.75" thickBot="1" x14ac:dyDescent="0.3">
      <c r="B87" s="130"/>
      <c r="C87" s="134"/>
      <c r="D87" s="196"/>
      <c r="E87" s="29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294"/>
    </row>
    <row r="88" spans="1:37" ht="14.45" customHeight="1" x14ac:dyDescent="0.3">
      <c r="B88" s="398" t="s">
        <v>71</v>
      </c>
      <c r="C88" s="398"/>
      <c r="D88" s="141">
        <f t="shared" ref="D88:AH88" si="30">D86+D84+D82+D76+D72+D63+D55</f>
        <v>854.78955200000007</v>
      </c>
      <c r="E88" s="264">
        <f t="shared" si="30"/>
        <v>879.03415487999985</v>
      </c>
      <c r="F88" s="265">
        <f t="shared" si="30"/>
        <v>960.99736624479999</v>
      </c>
      <c r="G88" s="265">
        <f t="shared" si="30"/>
        <v>1068.927657108896</v>
      </c>
      <c r="H88" s="265">
        <f t="shared" si="30"/>
        <v>1139.9415224339909</v>
      </c>
      <c r="I88" s="265">
        <f t="shared" si="30"/>
        <v>1211.3489017942852</v>
      </c>
      <c r="J88" s="265">
        <f t="shared" si="30"/>
        <v>1230.7901563018061</v>
      </c>
      <c r="K88" s="265">
        <f t="shared" si="30"/>
        <v>1297.4970579348626</v>
      </c>
      <c r="L88" s="265">
        <f t="shared" si="30"/>
        <v>1282.9526484538835</v>
      </c>
      <c r="M88" s="265">
        <f t="shared" si="30"/>
        <v>1268.0291896199224</v>
      </c>
      <c r="N88" s="265">
        <f t="shared" si="30"/>
        <v>1239.3815291244648</v>
      </c>
      <c r="O88" s="265">
        <f t="shared" si="30"/>
        <v>1241.5998913580529</v>
      </c>
      <c r="P88" s="265">
        <f t="shared" si="30"/>
        <v>1293.2596102975365</v>
      </c>
      <c r="Q88" s="265">
        <f t="shared" si="30"/>
        <v>1282.3463694598399</v>
      </c>
      <c r="R88" s="265">
        <f t="shared" si="30"/>
        <v>1251.6360966554694</v>
      </c>
      <c r="S88" s="265">
        <f t="shared" si="30"/>
        <v>1257.8771499018271</v>
      </c>
      <c r="T88" s="265">
        <f t="shared" si="30"/>
        <v>1291.8893024880817</v>
      </c>
      <c r="U88" s="265">
        <f t="shared" si="30"/>
        <v>1309.4598744749478</v>
      </c>
      <c r="V88" s="265">
        <f t="shared" si="30"/>
        <v>1297.0324589538311</v>
      </c>
      <c r="W88" s="265">
        <f t="shared" si="30"/>
        <v>1307.2348868550212</v>
      </c>
      <c r="X88" s="265">
        <f t="shared" si="30"/>
        <v>1315.1964738800207</v>
      </c>
      <c r="Y88" s="265">
        <f t="shared" si="30"/>
        <v>1321.0395510269054</v>
      </c>
      <c r="Z88" s="265">
        <f t="shared" si="30"/>
        <v>1284.6337592787272</v>
      </c>
      <c r="AA88" s="265">
        <f t="shared" si="30"/>
        <v>1227.6482089637238</v>
      </c>
      <c r="AB88" s="265">
        <f t="shared" si="30"/>
        <v>1195.4458525907121</v>
      </c>
      <c r="AC88" s="265">
        <f t="shared" si="30"/>
        <v>1195.4458525907121</v>
      </c>
      <c r="AD88" s="265">
        <f t="shared" si="30"/>
        <v>1161.8563845855551</v>
      </c>
      <c r="AE88" s="265">
        <f t="shared" si="30"/>
        <v>1126.8571020461932</v>
      </c>
      <c r="AF88" s="265">
        <f t="shared" si="30"/>
        <v>1090.4475214093125</v>
      </c>
      <c r="AG88" s="265">
        <f t="shared" si="30"/>
        <v>1052.5238885043173</v>
      </c>
      <c r="AH88" s="266">
        <f t="shared" si="30"/>
        <v>1013.076729648147</v>
      </c>
      <c r="AI88" s="16"/>
      <c r="AJ88" s="90">
        <f>SUM(D88:AH88)</f>
        <v>36950.196700865847</v>
      </c>
      <c r="AK88" s="91">
        <f>SUM(AJ42:AJ86)</f>
        <v>236050.19670086584</v>
      </c>
    </row>
    <row r="89" spans="1:37" ht="14.45" customHeight="1" x14ac:dyDescent="0.3">
      <c r="B89" s="398" t="s">
        <v>70</v>
      </c>
      <c r="C89" s="398"/>
      <c r="D89" s="146">
        <f t="shared" ref="D89:AH89" si="31">D88/D37/1000</f>
        <v>1.1598230013568521E-2</v>
      </c>
      <c r="E89" s="267">
        <f t="shared" si="31"/>
        <v>1.1809102393702055E-2</v>
      </c>
      <c r="F89" s="261">
        <f t="shared" si="31"/>
        <v>1.2782386996203978E-2</v>
      </c>
      <c r="G89" s="261">
        <f t="shared" si="31"/>
        <v>1.4077213742703851E-2</v>
      </c>
      <c r="H89" s="261">
        <f t="shared" si="31"/>
        <v>1.4863791002969914E-2</v>
      </c>
      <c r="I89" s="261">
        <f t="shared" si="31"/>
        <v>1.5638492751389139E-2</v>
      </c>
      <c r="J89" s="261">
        <f t="shared" si="31"/>
        <v>1.5732157426620035E-2</v>
      </c>
      <c r="K89" s="261">
        <f t="shared" si="31"/>
        <v>1.6420609658958429E-2</v>
      </c>
      <c r="L89" s="261">
        <f t="shared" si="31"/>
        <v>1.6075783528987912E-2</v>
      </c>
      <c r="M89" s="261">
        <f t="shared" si="31"/>
        <v>1.5731473356420066E-2</v>
      </c>
      <c r="N89" s="261">
        <f t="shared" si="31"/>
        <v>1.5223825375899856E-2</v>
      </c>
      <c r="O89" s="261">
        <f t="shared" si="31"/>
        <v>1.5100073681027852E-2</v>
      </c>
      <c r="P89" s="261">
        <f t="shared" si="31"/>
        <v>1.5572621970492036E-2</v>
      </c>
      <c r="Q89" s="261">
        <f t="shared" si="31"/>
        <v>1.5288328278930065E-2</v>
      </c>
      <c r="R89" s="261">
        <f t="shared" si="31"/>
        <v>1.477445122762191E-2</v>
      </c>
      <c r="S89" s="261">
        <f t="shared" si="31"/>
        <v>1.4701110209858299E-2</v>
      </c>
      <c r="T89" s="261">
        <f t="shared" si="31"/>
        <v>1.4949127077051866E-2</v>
      </c>
      <c r="U89" s="261">
        <f t="shared" si="31"/>
        <v>1.5002421147524061E-2</v>
      </c>
      <c r="V89" s="261">
        <f t="shared" si="31"/>
        <v>1.4712911706285314E-2</v>
      </c>
      <c r="W89" s="261">
        <f t="shared" si="31"/>
        <v>1.4681824887158381E-2</v>
      </c>
      <c r="X89" s="261">
        <f t="shared" si="31"/>
        <v>1.4624993182842331E-2</v>
      </c>
      <c r="Y89" s="261">
        <f t="shared" si="31"/>
        <v>1.4544523007925676E-2</v>
      </c>
      <c r="Z89" s="261">
        <f t="shared" si="31"/>
        <v>1.4003661995325345E-2</v>
      </c>
      <c r="AA89" s="261">
        <f t="shared" si="31"/>
        <v>1.324996861913093E-2</v>
      </c>
      <c r="AB89" s="261">
        <f t="shared" si="31"/>
        <v>1.2774662967023282E-2</v>
      </c>
      <c r="AC89" s="261">
        <f t="shared" si="31"/>
        <v>1.2648181155468598E-2</v>
      </c>
      <c r="AD89" s="261">
        <f t="shared" si="31"/>
        <v>1.2171083520166917E-2</v>
      </c>
      <c r="AE89" s="261">
        <f t="shared" si="31"/>
        <v>1.1687571108893693E-2</v>
      </c>
      <c r="AF89" s="261">
        <f t="shared" si="31"/>
        <v>1.1197957526648128E-2</v>
      </c>
      <c r="AG89" s="261">
        <f t="shared" si="31"/>
        <v>1.0701499461923615E-2</v>
      </c>
      <c r="AH89" s="268">
        <f t="shared" si="31"/>
        <v>1.019843749257518E-2</v>
      </c>
      <c r="AI89" s="16"/>
    </row>
    <row r="90" spans="1:37" ht="14.45" customHeight="1" x14ac:dyDescent="0.3">
      <c r="B90" s="398" t="s">
        <v>125</v>
      </c>
      <c r="C90" s="398"/>
      <c r="D90" s="87"/>
      <c r="E90" s="269" t="s">
        <v>72</v>
      </c>
      <c r="F90" s="262">
        <f t="shared" ref="F90:AH90" si="32">F89-E89</f>
        <v>9.7328460250192296E-4</v>
      </c>
      <c r="G90" s="262">
        <f t="shared" si="32"/>
        <v>1.294826746499873E-3</v>
      </c>
      <c r="H90" s="262">
        <f t="shared" si="32"/>
        <v>7.8657726026606228E-4</v>
      </c>
      <c r="I90" s="262">
        <f t="shared" si="32"/>
        <v>7.7470174841922507E-4</v>
      </c>
      <c r="J90" s="262">
        <f t="shared" si="32"/>
        <v>9.366467523089575E-5</v>
      </c>
      <c r="K90" s="262">
        <f t="shared" si="32"/>
        <v>6.8845223233839417E-4</v>
      </c>
      <c r="L90" s="262">
        <f t="shared" si="32"/>
        <v>-3.4482612997051645E-4</v>
      </c>
      <c r="M90" s="262">
        <f t="shared" si="32"/>
        <v>-3.4431017256784588E-4</v>
      </c>
      <c r="N90" s="262">
        <f t="shared" si="32"/>
        <v>-5.0764798052021012E-4</v>
      </c>
      <c r="O90" s="262">
        <f t="shared" si="32"/>
        <v>-1.2375169487200376E-4</v>
      </c>
      <c r="P90" s="262">
        <f t="shared" si="32"/>
        <v>4.7254828946418324E-4</v>
      </c>
      <c r="Q90" s="262">
        <f t="shared" si="32"/>
        <v>-2.8429369156197058E-4</v>
      </c>
      <c r="R90" s="262">
        <f t="shared" si="32"/>
        <v>-5.1387705130815503E-4</v>
      </c>
      <c r="S90" s="262">
        <f t="shared" si="32"/>
        <v>-7.3341017763611099E-5</v>
      </c>
      <c r="T90" s="262">
        <f t="shared" si="32"/>
        <v>2.4801686719356716E-4</v>
      </c>
      <c r="U90" s="262">
        <f t="shared" si="32"/>
        <v>5.3294070472194657E-5</v>
      </c>
      <c r="V90" s="262">
        <f t="shared" si="32"/>
        <v>-2.8950944123874722E-4</v>
      </c>
      <c r="W90" s="262">
        <f t="shared" si="32"/>
        <v>-3.1086819126932563E-5</v>
      </c>
      <c r="X90" s="262">
        <f t="shared" si="32"/>
        <v>-5.6831704316050169E-5</v>
      </c>
      <c r="Y90" s="262">
        <f t="shared" si="32"/>
        <v>-8.0470174916654966E-5</v>
      </c>
      <c r="Z90" s="262">
        <f t="shared" si="32"/>
        <v>-5.4086101260033062E-4</v>
      </c>
      <c r="AA90" s="262">
        <f t="shared" si="32"/>
        <v>-7.5369337619441562E-4</v>
      </c>
      <c r="AB90" s="262">
        <f t="shared" si="32"/>
        <v>-4.7530565210764791E-4</v>
      </c>
      <c r="AC90" s="262">
        <f t="shared" si="32"/>
        <v>-1.2648181155468403E-4</v>
      </c>
      <c r="AD90" s="262">
        <f t="shared" si="32"/>
        <v>-4.770976353016803E-4</v>
      </c>
      <c r="AE90" s="262">
        <f t="shared" si="32"/>
        <v>-4.8351241127322399E-4</v>
      </c>
      <c r="AF90" s="262">
        <f t="shared" si="32"/>
        <v>-4.8961358224556585E-4</v>
      </c>
      <c r="AG90" s="262">
        <f t="shared" si="32"/>
        <v>-4.9645806472451218E-4</v>
      </c>
      <c r="AH90" s="270">
        <f t="shared" si="32"/>
        <v>-5.0306196934843568E-4</v>
      </c>
      <c r="AI90" s="16"/>
    </row>
    <row r="91" spans="1:37" ht="14.45" customHeight="1" x14ac:dyDescent="0.3">
      <c r="B91" s="398" t="s">
        <v>126</v>
      </c>
      <c r="C91" s="398"/>
      <c r="D91" s="87"/>
      <c r="E91" s="396">
        <f>AVERAGE(F90:AH90)</f>
        <v>-5.5540169004375023E-5</v>
      </c>
      <c r="F91" s="397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71"/>
      <c r="AI91" s="16"/>
    </row>
    <row r="92" spans="1:37" ht="14.45" customHeight="1" x14ac:dyDescent="0.3">
      <c r="A92" t="s">
        <v>68</v>
      </c>
      <c r="B92" s="398" t="s">
        <v>69</v>
      </c>
      <c r="C92" s="398"/>
      <c r="D92" s="87"/>
      <c r="E92" s="272" t="s">
        <v>72</v>
      </c>
      <c r="F92" s="263">
        <f>F90</f>
        <v>9.7328460250192296E-4</v>
      </c>
      <c r="G92" s="263">
        <f>F92+G90</f>
        <v>2.268111349001796E-3</v>
      </c>
      <c r="H92" s="263">
        <f t="shared" ref="H92:AH92" si="33">G92+H90</f>
        <v>3.0546886092678582E-3</v>
      </c>
      <c r="I92" s="263">
        <f t="shared" si="33"/>
        <v>3.8293903576870833E-3</v>
      </c>
      <c r="J92" s="263">
        <f t="shared" si="33"/>
        <v>3.9230550329179791E-3</v>
      </c>
      <c r="K92" s="263">
        <f t="shared" si="33"/>
        <v>4.6115072652563732E-3</v>
      </c>
      <c r="L92" s="263">
        <f t="shared" si="33"/>
        <v>4.2666811352858568E-3</v>
      </c>
      <c r="M92" s="263">
        <f t="shared" si="33"/>
        <v>3.9223709627180109E-3</v>
      </c>
      <c r="N92" s="263">
        <f t="shared" si="33"/>
        <v>3.4147229821978008E-3</v>
      </c>
      <c r="O92" s="263">
        <f t="shared" si="33"/>
        <v>3.290971287325797E-3</v>
      </c>
      <c r="P92" s="263">
        <f t="shared" si="33"/>
        <v>3.7635195767899803E-3</v>
      </c>
      <c r="Q92" s="263">
        <f t="shared" si="33"/>
        <v>3.4792258852280097E-3</v>
      </c>
      <c r="R92" s="263">
        <f t="shared" si="33"/>
        <v>2.9653488339198546E-3</v>
      </c>
      <c r="S92" s="263">
        <f t="shared" si="33"/>
        <v>2.8920078161562435E-3</v>
      </c>
      <c r="T92" s="263">
        <f t="shared" si="33"/>
        <v>3.1400246833498107E-3</v>
      </c>
      <c r="U92" s="263">
        <f t="shared" si="33"/>
        <v>3.1933187538220054E-3</v>
      </c>
      <c r="V92" s="263">
        <f t="shared" si="33"/>
        <v>2.9038093125832581E-3</v>
      </c>
      <c r="W92" s="263">
        <f t="shared" si="33"/>
        <v>2.8727224934563256E-3</v>
      </c>
      <c r="X92" s="263">
        <f t="shared" si="33"/>
        <v>2.8158907891402754E-3</v>
      </c>
      <c r="Y92" s="263">
        <f t="shared" si="33"/>
        <v>2.7354206142236204E-3</v>
      </c>
      <c r="Z92" s="263">
        <f t="shared" si="33"/>
        <v>2.1945596016232898E-3</v>
      </c>
      <c r="AA92" s="263">
        <f t="shared" si="33"/>
        <v>1.4408662254288742E-3</v>
      </c>
      <c r="AB92" s="263">
        <f t="shared" si="33"/>
        <v>9.6556057332122629E-4</v>
      </c>
      <c r="AC92" s="263">
        <f t="shared" si="33"/>
        <v>8.3907876176654225E-4</v>
      </c>
      <c r="AD92" s="263">
        <f t="shared" si="33"/>
        <v>3.6198112646486195E-4</v>
      </c>
      <c r="AE92" s="263">
        <f t="shared" si="33"/>
        <v>-1.2153128480836203E-4</v>
      </c>
      <c r="AF92" s="263">
        <f t="shared" si="33"/>
        <v>-6.1114486705392788E-4</v>
      </c>
      <c r="AG92" s="263">
        <f t="shared" si="33"/>
        <v>-1.1076029317784401E-3</v>
      </c>
      <c r="AH92" s="271">
        <f t="shared" si="33"/>
        <v>-1.6106649011268757E-3</v>
      </c>
      <c r="AI92" s="16"/>
    </row>
    <row r="93" spans="1:37" ht="14.45" customHeight="1" thickBot="1" x14ac:dyDescent="0.35">
      <c r="B93" s="280"/>
      <c r="C93" s="147"/>
      <c r="D93" s="147"/>
      <c r="E93" s="273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5"/>
      <c r="AI93" s="16"/>
    </row>
    <row r="94" spans="1:37" ht="18.600000000000001" customHeight="1" x14ac:dyDescent="0.35">
      <c r="B94" s="140" t="s">
        <v>56</v>
      </c>
      <c r="C94" s="131"/>
      <c r="D94" s="165"/>
      <c r="E94" s="165"/>
      <c r="F94" s="96"/>
      <c r="G94" s="31"/>
      <c r="AH94" s="5"/>
      <c r="AI94" s="16"/>
    </row>
    <row r="95" spans="1:37" ht="14.45" customHeight="1" thickBot="1" x14ac:dyDescent="0.3">
      <c r="B95" s="132"/>
      <c r="C95" s="133"/>
      <c r="D95" s="165"/>
      <c r="E95" s="165"/>
      <c r="F95" s="31"/>
      <c r="G95" s="31"/>
      <c r="AH95" s="5"/>
      <c r="AI95" s="16"/>
    </row>
    <row r="96" spans="1:37" ht="16.149999999999999" customHeight="1" thickBot="1" x14ac:dyDescent="0.35">
      <c r="B96" s="253" t="s">
        <v>122</v>
      </c>
      <c r="C96" s="121" t="s">
        <v>58</v>
      </c>
      <c r="D96" s="168"/>
      <c r="E96" s="44">
        <v>2021</v>
      </c>
      <c r="F96" s="42">
        <f t="shared" ref="F96:AH96" si="34">1+E96</f>
        <v>2022</v>
      </c>
      <c r="G96" s="42">
        <f t="shared" si="34"/>
        <v>2023</v>
      </c>
      <c r="H96" s="42">
        <f t="shared" si="34"/>
        <v>2024</v>
      </c>
      <c r="I96" s="42">
        <f t="shared" si="34"/>
        <v>2025</v>
      </c>
      <c r="J96" s="42">
        <f t="shared" si="34"/>
        <v>2026</v>
      </c>
      <c r="K96" s="42">
        <f t="shared" si="34"/>
        <v>2027</v>
      </c>
      <c r="L96" s="42">
        <f t="shared" si="34"/>
        <v>2028</v>
      </c>
      <c r="M96" s="42">
        <f t="shared" si="34"/>
        <v>2029</v>
      </c>
      <c r="N96" s="42">
        <f t="shared" si="34"/>
        <v>2030</v>
      </c>
      <c r="O96" s="42">
        <f t="shared" si="34"/>
        <v>2031</v>
      </c>
      <c r="P96" s="42">
        <f t="shared" si="34"/>
        <v>2032</v>
      </c>
      <c r="Q96" s="42">
        <f t="shared" si="34"/>
        <v>2033</v>
      </c>
      <c r="R96" s="42">
        <f t="shared" si="34"/>
        <v>2034</v>
      </c>
      <c r="S96" s="42">
        <f t="shared" si="34"/>
        <v>2035</v>
      </c>
      <c r="T96" s="42">
        <f t="shared" si="34"/>
        <v>2036</v>
      </c>
      <c r="U96" s="42">
        <f t="shared" si="34"/>
        <v>2037</v>
      </c>
      <c r="V96" s="42">
        <f t="shared" si="34"/>
        <v>2038</v>
      </c>
      <c r="W96" s="42">
        <f t="shared" si="34"/>
        <v>2039</v>
      </c>
      <c r="X96" s="42">
        <f t="shared" si="34"/>
        <v>2040</v>
      </c>
      <c r="Y96" s="42">
        <f t="shared" si="34"/>
        <v>2041</v>
      </c>
      <c r="Z96" s="42">
        <f t="shared" si="34"/>
        <v>2042</v>
      </c>
      <c r="AA96" s="42">
        <f t="shared" si="34"/>
        <v>2043</v>
      </c>
      <c r="AB96" s="42">
        <f t="shared" si="34"/>
        <v>2044</v>
      </c>
      <c r="AC96" s="42">
        <f t="shared" si="34"/>
        <v>2045</v>
      </c>
      <c r="AD96" s="42">
        <f t="shared" si="34"/>
        <v>2046</v>
      </c>
      <c r="AE96" s="42">
        <f t="shared" si="34"/>
        <v>2047</v>
      </c>
      <c r="AF96" s="42">
        <f t="shared" si="34"/>
        <v>2048</v>
      </c>
      <c r="AG96" s="45">
        <f t="shared" si="34"/>
        <v>2049</v>
      </c>
      <c r="AH96" s="45">
        <f t="shared" si="34"/>
        <v>2050</v>
      </c>
      <c r="AI96" s="16"/>
    </row>
    <row r="97" spans="2:35" ht="14.45" customHeight="1" x14ac:dyDescent="0.3">
      <c r="B97" s="256" t="s">
        <v>25</v>
      </c>
      <c r="C97" s="103"/>
      <c r="D97" s="357"/>
      <c r="E97" s="2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243"/>
      <c r="AI97" s="16"/>
    </row>
    <row r="98" spans="2:35" ht="19.149999999999999" customHeight="1" x14ac:dyDescent="0.3">
      <c r="B98" s="257" t="s">
        <v>155</v>
      </c>
      <c r="C98" s="162" t="s">
        <v>60</v>
      </c>
      <c r="D98" s="85"/>
      <c r="E98" s="360" t="s">
        <v>72</v>
      </c>
      <c r="F98" s="158">
        <f>IF($C$98="yes",0.39/10*0.04,0)</f>
        <v>1.56E-3</v>
      </c>
      <c r="G98" s="158">
        <f t="shared" ref="G98:N98" si="35">IF($C$98="yes",0.39/10*0.7*0.04,0)</f>
        <v>1.0919999999999999E-3</v>
      </c>
      <c r="H98" s="158">
        <f t="shared" si="35"/>
        <v>1.0919999999999999E-3</v>
      </c>
      <c r="I98" s="158">
        <f t="shared" si="35"/>
        <v>1.0919999999999999E-3</v>
      </c>
      <c r="J98" s="158">
        <f t="shared" si="35"/>
        <v>1.0919999999999999E-3</v>
      </c>
      <c r="K98" s="158">
        <f t="shared" si="35"/>
        <v>1.0919999999999999E-3</v>
      </c>
      <c r="L98" s="158">
        <f t="shared" si="35"/>
        <v>1.0919999999999999E-3</v>
      </c>
      <c r="M98" s="158">
        <f t="shared" si="35"/>
        <v>1.0919999999999999E-3</v>
      </c>
      <c r="N98" s="158">
        <f t="shared" si="35"/>
        <v>1.0919999999999999E-3</v>
      </c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244"/>
      <c r="AI98" s="16"/>
    </row>
    <row r="99" spans="2:35" ht="14.45" customHeight="1" x14ac:dyDescent="0.35">
      <c r="B99" s="258" t="s">
        <v>75</v>
      </c>
      <c r="C99" s="162" t="s">
        <v>60</v>
      </c>
      <c r="D99" s="169"/>
      <c r="E99" s="361" t="s">
        <v>72</v>
      </c>
      <c r="F99" s="160">
        <f t="shared" ref="F99:H99" si="36">IF($C99="yes",(F54-E54)*$C26/F$37/1000000000,0)</f>
        <v>3.6629881526979301E-4</v>
      </c>
      <c r="G99" s="160">
        <f t="shared" si="36"/>
        <v>4.6236715285439281E-4</v>
      </c>
      <c r="H99" s="160">
        <f t="shared" si="36"/>
        <v>4.8002559906852263E-4</v>
      </c>
      <c r="I99" s="160">
        <f>IF($C99="yes",(I54-H54)*$D26/I$37/1000000000,0)</f>
        <v>5.4651256666629091E-4</v>
      </c>
      <c r="J99" s="160">
        <f>IF($C99="yes",(J54-I54)*$D26/J$37/1000000000,0)</f>
        <v>5.7097096752899634E-4</v>
      </c>
      <c r="K99" s="160">
        <f t="shared" ref="K99:M99" si="37">IF($C99="yes",(K54-J54)*$D26/K$37/1000000000,0)</f>
        <v>5.9753114458140414E-4</v>
      </c>
      <c r="L99" s="160">
        <f t="shared" si="37"/>
        <v>6.2747782301308638E-4</v>
      </c>
      <c r="M99" s="160">
        <f t="shared" si="37"/>
        <v>6.6001042514372116E-4</v>
      </c>
      <c r="N99" s="160">
        <f>IF($C99="yes",(N54-M54)*$E26/N$37/1000000000,0)</f>
        <v>7.4527306028305108E-4</v>
      </c>
      <c r="O99" s="160">
        <f t="shared" ref="O99:R99" si="38">IF($C99="yes",(O54-N54)*$E26/O$37/1000000000,0)</f>
        <v>7.3494254261575998E-4</v>
      </c>
      <c r="P99" s="160">
        <f t="shared" si="38"/>
        <v>7.247552202428681E-4</v>
      </c>
      <c r="Q99" s="160">
        <f t="shared" si="38"/>
        <v>7.1470910827910693E-4</v>
      </c>
      <c r="R99" s="160">
        <f t="shared" si="38"/>
        <v>7.0480224935246612E-4</v>
      </c>
      <c r="S99" s="160">
        <f>IF($C99="yes",(S54-R54)*$F26/S$37/1000000000,0)</f>
        <v>6.8034895455730137E-4</v>
      </c>
      <c r="T99" s="160">
        <f t="shared" ref="T99:W99" si="39">IF($C99="yes",(T54-S54)*$F26/T$37/1000000000,0)</f>
        <v>5.754498588296991E-4</v>
      </c>
      <c r="U99" s="160">
        <f t="shared" si="39"/>
        <v>7.2997940816914991E-4</v>
      </c>
      <c r="V99" s="160">
        <f t="shared" si="39"/>
        <v>7.198608817192818E-4</v>
      </c>
      <c r="W99" s="160">
        <f t="shared" si="39"/>
        <v>7.0988261207168728E-4</v>
      </c>
      <c r="X99" s="160">
        <f>IF($C99="yes",(X54-W54)*$G26/X$37/1000000000,0)</f>
        <v>7.5108743200505488E-4</v>
      </c>
      <c r="Y99" s="160">
        <f t="shared" ref="Y99:AB99" si="40">IF($C99="yes",(Y54-X54)*$G26/Y$37/1000000000,0)</f>
        <v>7.4067631908617253E-4</v>
      </c>
      <c r="Z99" s="160">
        <f t="shared" si="40"/>
        <v>7.3040951862359557E-4</v>
      </c>
      <c r="AA99" s="160">
        <f t="shared" si="40"/>
        <v>7.2028503024662788E-4</v>
      </c>
      <c r="AB99" s="160">
        <f t="shared" si="40"/>
        <v>7.1030088131252044E-4</v>
      </c>
      <c r="AC99" s="160">
        <f>IF($C99="yes",(AC54-AB54)*$H26/AC$37/1000000000,0)</f>
        <v>7.480588729847148E-4</v>
      </c>
      <c r="AD99" s="160">
        <f t="shared" ref="AD99:AG99" si="41">IF($C99="yes",(AD54-AC54)*$H26/AD$37/1000000000,0)</f>
        <v>7.376897400918573E-4</v>
      </c>
      <c r="AE99" s="160">
        <f t="shared" si="41"/>
        <v>7.2746433775394876E-4</v>
      </c>
      <c r="AF99" s="160">
        <f t="shared" si="41"/>
        <v>7.1738067366627022E-4</v>
      </c>
      <c r="AG99" s="160">
        <f t="shared" si="41"/>
        <v>7.0743678314020154E-4</v>
      </c>
      <c r="AH99" s="246">
        <f>IF($C99="yes",(AH54-AG54)*$I26/AH$37/1000000000,0)</f>
        <v>7.3568331392337666E-4</v>
      </c>
      <c r="AI99" s="16"/>
    </row>
    <row r="100" spans="2:35" ht="14.45" customHeight="1" x14ac:dyDescent="0.3">
      <c r="B100" s="258" t="s">
        <v>92</v>
      </c>
      <c r="C100" s="162" t="s">
        <v>60</v>
      </c>
      <c r="D100" s="169"/>
      <c r="E100" s="361" t="s">
        <v>72</v>
      </c>
      <c r="F100" s="160">
        <f t="shared" ref="F100:H100" si="42">IF($C100="yes",(F54-E54)*$C28/F$37/1000000000,0)</f>
        <v>2.078179473283182E-4</v>
      </c>
      <c r="G100" s="160">
        <f t="shared" si="42"/>
        <v>2.6232187660084588E-4</v>
      </c>
      <c r="H100" s="160">
        <f t="shared" si="42"/>
        <v>2.7234031480552598E-4</v>
      </c>
      <c r="I100" s="160">
        <f>IF($C100="yes",(I54-H54)*$D28/I$37/1000000000,0)</f>
        <v>3.1230279757204875E-4</v>
      </c>
      <c r="J100" s="160">
        <f t="shared" ref="J100:M100" si="43">IF($C100="yes",(J54-I54)*$D28/J$37/1000000000,0)</f>
        <v>3.2627946980148294E-4</v>
      </c>
      <c r="K100" s="160">
        <f t="shared" si="43"/>
        <v>3.4145719507882476E-4</v>
      </c>
      <c r="L100" s="160">
        <f t="shared" si="43"/>
        <v>3.5857012536193687E-4</v>
      </c>
      <c r="M100" s="160">
        <f t="shared" si="43"/>
        <v>3.7716077318486154E-4</v>
      </c>
      <c r="N100" s="160">
        <f>IF($C100="yes",(N54-M54)*$E28/N$37/1000000000,0)</f>
        <v>4.5133244868103062E-4</v>
      </c>
      <c r="O100" s="160">
        <f t="shared" ref="O100:R100" si="44">IF($C100="yes",(O54-N54)*$E28/O$37/1000000000,0)</f>
        <v>4.4507635533297586E-4</v>
      </c>
      <c r="P100" s="160">
        <f t="shared" si="44"/>
        <v>4.3890698011053839E-4</v>
      </c>
      <c r="Q100" s="160">
        <f t="shared" si="44"/>
        <v>4.3282312098029418E-4</v>
      </c>
      <c r="R100" s="160">
        <f t="shared" si="44"/>
        <v>4.2682359257066653E-4</v>
      </c>
      <c r="S100" s="160">
        <f>IF($C100="yes",(S54-R54)*$F28/S$37/1000000000,0)</f>
        <v>4.2780874070798698E-4</v>
      </c>
      <c r="T100" s="160">
        <f t="shared" ref="T100:W100" si="45">IF($C100="yes",(T54-S54)*$F28/T$37/1000000000,0)</f>
        <v>3.618473693499123E-4</v>
      </c>
      <c r="U100" s="160">
        <f t="shared" si="45"/>
        <v>4.5901675788538799E-4</v>
      </c>
      <c r="V100" s="160">
        <f t="shared" si="45"/>
        <v>4.5265414936024485E-4</v>
      </c>
      <c r="W100" s="160">
        <f t="shared" si="45"/>
        <v>4.4637973540871635E-4</v>
      </c>
      <c r="X100" s="160">
        <f>IF($C100="yes",(X54-W54)*$G28/X$37/1000000000,0)</f>
        <v>4.873557535530235E-4</v>
      </c>
      <c r="Y100" s="160">
        <f t="shared" ref="Y100:AB100" si="46">IF($C100="yes",(Y54-X54)*$G28/Y$37/1000000000,0)</f>
        <v>4.8060032726614948E-4</v>
      </c>
      <c r="Z100" s="160">
        <f t="shared" si="46"/>
        <v>4.7393854055157169E-4</v>
      </c>
      <c r="AA100" s="160">
        <f t="shared" si="46"/>
        <v>4.6736909543501067E-4</v>
      </c>
      <c r="AB100" s="160">
        <f t="shared" si="46"/>
        <v>4.6089071193393416E-4</v>
      </c>
      <c r="AC100" s="160">
        <f>IF($C100="yes",(AC54-AB54)*$H28/AC$37/1000000000,0)</f>
        <v>5.131475636543267E-4</v>
      </c>
      <c r="AD100" s="160">
        <f t="shared" ref="AD100:AG100" si="47">IF($C100="yes",(AD54-AC54)*$H28/AD$37/1000000000,0)</f>
        <v>5.0603462712842508E-4</v>
      </c>
      <c r="AE100" s="160">
        <f t="shared" si="47"/>
        <v>4.9902028576228729E-4</v>
      </c>
      <c r="AF100" s="160">
        <f t="shared" si="47"/>
        <v>4.9210317289033489E-4</v>
      </c>
      <c r="AG100" s="160">
        <f t="shared" si="47"/>
        <v>4.8528194079086389E-4</v>
      </c>
      <c r="AH100" s="246">
        <f>IF($C100="yes",(AH54-AG54)*$I28/AH$37/1000000000,0)</f>
        <v>5.1957428274548227E-4</v>
      </c>
      <c r="AI100" s="16"/>
    </row>
    <row r="101" spans="2:35" ht="14.45" customHeight="1" x14ac:dyDescent="0.3">
      <c r="B101" s="258" t="s">
        <v>57</v>
      </c>
      <c r="C101" s="162" t="s">
        <v>60</v>
      </c>
      <c r="D101" s="169"/>
      <c r="E101" s="361" t="s">
        <v>72</v>
      </c>
      <c r="F101" s="160">
        <f t="shared" ref="F101:AH101" si="48">IF($C101="yes",(F54-E54)*$C29/F$37/1000000000,0)</f>
        <v>3.6125881425145558E-4</v>
      </c>
      <c r="G101" s="160">
        <f t="shared" si="48"/>
        <v>4.560053225014459E-4</v>
      </c>
      <c r="H101" s="160">
        <f t="shared" si="48"/>
        <v>4.734208015445355E-4</v>
      </c>
      <c r="I101" s="160">
        <f t="shared" si="48"/>
        <v>4.9353572021140323E-4</v>
      </c>
      <c r="J101" s="160">
        <f t="shared" si="48"/>
        <v>5.1562321686061637E-4</v>
      </c>
      <c r="K101" s="160">
        <f t="shared" si="48"/>
        <v>5.3960875152171911E-4</v>
      </c>
      <c r="L101" s="160">
        <f t="shared" si="48"/>
        <v>5.6665251301813932E-4</v>
      </c>
      <c r="M101" s="160">
        <f t="shared" si="48"/>
        <v>5.9603152862035117E-4</v>
      </c>
      <c r="N101" s="160">
        <f t="shared" si="48"/>
        <v>6.2765637844021719E-4</v>
      </c>
      <c r="O101" s="160">
        <f t="shared" si="48"/>
        <v>6.1895619101629234E-4</v>
      </c>
      <c r="P101" s="160">
        <f t="shared" si="48"/>
        <v>6.1037660024972963E-4</v>
      </c>
      <c r="Q101" s="160">
        <f t="shared" si="48"/>
        <v>6.0191593450369487E-4</v>
      </c>
      <c r="R101" s="160">
        <f t="shared" si="48"/>
        <v>5.9357254531255477E-4</v>
      </c>
      <c r="S101" s="160">
        <f t="shared" si="48"/>
        <v>5.3119871908990988E-4</v>
      </c>
      <c r="T101" s="160">
        <f t="shared" si="48"/>
        <v>4.4929624108808777E-4</v>
      </c>
      <c r="U101" s="160">
        <f t="shared" si="48"/>
        <v>5.699488828255475E-4</v>
      </c>
      <c r="V101" s="160">
        <f t="shared" si="48"/>
        <v>5.6204860128143187E-4</v>
      </c>
      <c r="W101" s="160">
        <f t="shared" si="48"/>
        <v>5.5425782859040164E-4</v>
      </c>
      <c r="X101" s="160">
        <f t="shared" si="48"/>
        <v>5.4657504680795952E-4</v>
      </c>
      <c r="Y101" s="160">
        <f t="shared" si="48"/>
        <v>5.389987590304231E-4</v>
      </c>
      <c r="Z101" s="160">
        <f t="shared" si="48"/>
        <v>5.3152748910327151E-4</v>
      </c>
      <c r="AA101" s="160">
        <f t="shared" si="48"/>
        <v>5.2415978133351813E-4</v>
      </c>
      <c r="AB101" s="160">
        <f t="shared" si="48"/>
        <v>5.1689420020612593E-4</v>
      </c>
      <c r="AC101" s="160">
        <f t="shared" si="48"/>
        <v>5.0972933010425968E-4</v>
      </c>
      <c r="AD101" s="160">
        <f t="shared" si="48"/>
        <v>5.0266377503350751E-4</v>
      </c>
      <c r="AE101" s="160">
        <f t="shared" si="48"/>
        <v>4.9569615834987358E-4</v>
      </c>
      <c r="AF101" s="160">
        <f t="shared" si="48"/>
        <v>4.8882512249155859E-4</v>
      </c>
      <c r="AG101" s="160">
        <f t="shared" si="48"/>
        <v>4.8204932871444685E-4</v>
      </c>
      <c r="AH101" s="246">
        <f t="shared" si="48"/>
        <v>4.7536745683128095E-4</v>
      </c>
      <c r="AI101" s="16"/>
    </row>
    <row r="102" spans="2:35" ht="14.45" customHeight="1" x14ac:dyDescent="0.3">
      <c r="B102" s="258" t="s">
        <v>151</v>
      </c>
      <c r="C102" s="162" t="s">
        <v>60</v>
      </c>
      <c r="D102" s="169"/>
      <c r="E102" s="361" t="s">
        <v>72</v>
      </c>
      <c r="F102" s="161">
        <f t="shared" ref="F102:AH102" si="49">IF($C$102="yes",(F54-E54)*44.67/F37/1000000000,0)</f>
        <v>3.9359588372225662E-4</v>
      </c>
      <c r="G102" s="161">
        <f t="shared" si="49"/>
        <v>4.968233599058436E-4</v>
      </c>
      <c r="H102" s="161">
        <f t="shared" si="49"/>
        <v>5.1579773670718042E-4</v>
      </c>
      <c r="I102" s="161">
        <f t="shared" si="49"/>
        <v>5.3771318589861908E-4</v>
      </c>
      <c r="J102" s="161">
        <f t="shared" si="49"/>
        <v>5.6177778285765193E-4</v>
      </c>
      <c r="K102" s="161">
        <f t="shared" si="49"/>
        <v>5.8791031537744375E-4</v>
      </c>
      <c r="L102" s="161">
        <f t="shared" si="49"/>
        <v>6.1737482332976294E-4</v>
      </c>
      <c r="M102" s="161">
        <f t="shared" si="49"/>
        <v>6.4938361910905093E-4</v>
      </c>
      <c r="N102" s="161">
        <f t="shared" si="49"/>
        <v>6.8383927865669526E-4</v>
      </c>
      <c r="O102" s="161">
        <f t="shared" si="49"/>
        <v>6.7436031835848241E-4</v>
      </c>
      <c r="P102" s="161">
        <f t="shared" si="49"/>
        <v>6.6501274958915657E-4</v>
      </c>
      <c r="Q102" s="161">
        <f t="shared" si="49"/>
        <v>6.5579475108000127E-4</v>
      </c>
      <c r="R102" s="161">
        <f t="shared" si="49"/>
        <v>6.4670452680760536E-4</v>
      </c>
      <c r="S102" s="161">
        <f t="shared" si="49"/>
        <v>5.7874748248161652E-4</v>
      </c>
      <c r="T102" s="161">
        <f t="shared" si="49"/>
        <v>4.8951373388792397E-4</v>
      </c>
      <c r="U102" s="161">
        <f t="shared" si="49"/>
        <v>6.2096625843456599E-4</v>
      </c>
      <c r="V102" s="161">
        <f t="shared" si="49"/>
        <v>6.1235880534735523E-4</v>
      </c>
      <c r="W102" s="161">
        <f t="shared" si="49"/>
        <v>6.038706634910548E-4</v>
      </c>
      <c r="X102" s="161">
        <f t="shared" si="49"/>
        <v>5.9550017904662345E-4</v>
      </c>
      <c r="Y102" s="161">
        <f t="shared" si="49"/>
        <v>5.8724572111924387E-4</v>
      </c>
      <c r="Z102" s="161">
        <f t="shared" si="49"/>
        <v>5.791056814205644E-4</v>
      </c>
      <c r="AA102" s="161">
        <f t="shared" si="49"/>
        <v>5.7107847395532338E-4</v>
      </c>
      <c r="AB102" s="161">
        <f t="shared" si="49"/>
        <v>5.6316253471238155E-4</v>
      </c>
      <c r="AC102" s="161">
        <f t="shared" si="49"/>
        <v>5.5535632135993369E-4</v>
      </c>
      <c r="AD102" s="161">
        <f t="shared" si="49"/>
        <v>5.4765831294504349E-4</v>
      </c>
      <c r="AE102" s="161">
        <f t="shared" si="49"/>
        <v>5.400670095972892E-4</v>
      </c>
      <c r="AF102" s="161">
        <f t="shared" si="49"/>
        <v>5.3258093223653466E-4</v>
      </c>
      <c r="AG102" s="161">
        <f t="shared" si="49"/>
        <v>5.2519862228474006E-4</v>
      </c>
      <c r="AH102" s="248">
        <f t="shared" si="49"/>
        <v>5.1791864138178831E-4</v>
      </c>
      <c r="AI102" s="16"/>
    </row>
    <row r="103" spans="2:35" ht="14.45" customHeight="1" x14ac:dyDescent="0.3">
      <c r="B103" s="64" t="s">
        <v>128</v>
      </c>
      <c r="C103" s="162" t="s">
        <v>127</v>
      </c>
      <c r="D103" s="169"/>
      <c r="E103" s="247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248"/>
      <c r="AI103" s="16"/>
    </row>
    <row r="104" spans="2:35" ht="14.45" customHeight="1" x14ac:dyDescent="0.3">
      <c r="B104" s="259"/>
      <c r="C104" s="120"/>
      <c r="D104" s="358"/>
      <c r="E104" s="249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250"/>
      <c r="AI104" s="16"/>
    </row>
    <row r="105" spans="2:35" ht="14.45" customHeight="1" x14ac:dyDescent="0.3">
      <c r="B105" s="260"/>
      <c r="C105" s="119"/>
      <c r="D105" s="358"/>
      <c r="E105" s="249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250"/>
      <c r="AI105" s="16"/>
    </row>
    <row r="106" spans="2:35" ht="14.45" customHeight="1" x14ac:dyDescent="0.3">
      <c r="B106" s="260" t="s">
        <v>59</v>
      </c>
      <c r="C106" s="119"/>
      <c r="D106" s="358"/>
      <c r="E106" s="249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250"/>
      <c r="AI106" s="16"/>
    </row>
    <row r="107" spans="2:35" ht="16.899999999999999" customHeight="1" x14ac:dyDescent="0.3">
      <c r="B107" s="257" t="s">
        <v>155</v>
      </c>
      <c r="C107" s="162" t="s">
        <v>62</v>
      </c>
      <c r="D107" s="169"/>
      <c r="E107" s="360" t="s">
        <v>72</v>
      </c>
      <c r="F107" s="158">
        <v>0</v>
      </c>
      <c r="G107" s="158">
        <v>0</v>
      </c>
      <c r="H107" s="158">
        <f t="shared" ref="H107:N107" si="50">IF($C$107="yes",0.39/10*0.3*0.04,0)</f>
        <v>0</v>
      </c>
      <c r="I107" s="158">
        <f t="shared" si="50"/>
        <v>0</v>
      </c>
      <c r="J107" s="158">
        <f t="shared" si="50"/>
        <v>0</v>
      </c>
      <c r="K107" s="158">
        <f t="shared" si="50"/>
        <v>0</v>
      </c>
      <c r="L107" s="158">
        <f t="shared" si="50"/>
        <v>0</v>
      </c>
      <c r="M107" s="158">
        <f t="shared" si="50"/>
        <v>0</v>
      </c>
      <c r="N107" s="158">
        <f t="shared" si="50"/>
        <v>0</v>
      </c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248"/>
      <c r="AI107" s="16"/>
    </row>
    <row r="108" spans="2:35" ht="14.45" customHeight="1" x14ac:dyDescent="0.35">
      <c r="B108" s="258" t="s">
        <v>75</v>
      </c>
      <c r="C108" s="162" t="s">
        <v>62</v>
      </c>
      <c r="D108" s="169"/>
      <c r="E108" s="361" t="s">
        <v>72</v>
      </c>
      <c r="F108" s="160">
        <f t="shared" ref="F108:H108" si="51">IF($C108="yes",(F$60-E$60)*$C26/F$37/1000000000,0)</f>
        <v>0</v>
      </c>
      <c r="G108" s="160">
        <f t="shared" si="51"/>
        <v>0</v>
      </c>
      <c r="H108" s="160">
        <f t="shared" si="51"/>
        <v>0</v>
      </c>
      <c r="I108" s="160">
        <f>IF($C108="yes",(I$60-H$60)*$D26/I$37/1000000000,0)</f>
        <v>0</v>
      </c>
      <c r="J108" s="160">
        <f>IF($C108="yes",(J$60-I$60)*$D26/J$37/1000000000,0)</f>
        <v>0</v>
      </c>
      <c r="K108" s="160">
        <f t="shared" ref="K108:M108" si="52">IF($C108="yes",(K$60-J$60)*$D26/K$37/1000000000,0)</f>
        <v>0</v>
      </c>
      <c r="L108" s="160">
        <f t="shared" si="52"/>
        <v>0</v>
      </c>
      <c r="M108" s="160">
        <f t="shared" si="52"/>
        <v>0</v>
      </c>
      <c r="N108" s="160">
        <f>IF($C108="yes",(N$60-M$60)*$E26/N$37/1000000000,0)</f>
        <v>0</v>
      </c>
      <c r="O108" s="160">
        <f>IF($C108="yes",(O$60-N$60)*$E26/O$37/1000000000,0)</f>
        <v>0</v>
      </c>
      <c r="P108" s="160">
        <f t="shared" ref="P108:R108" si="53">IF($C108="yes",(P$60-O$60)*$E26/P$37/1000000000,0)</f>
        <v>0</v>
      </c>
      <c r="Q108" s="160">
        <f t="shared" si="53"/>
        <v>0</v>
      </c>
      <c r="R108" s="160">
        <f t="shared" si="53"/>
        <v>0</v>
      </c>
      <c r="S108" s="160">
        <f>IF($C108="yes",(S$60-R$60)*$F26/S$37/1000000000,0)</f>
        <v>0</v>
      </c>
      <c r="T108" s="160">
        <f>IF($C108="yes",(T$60-S$60)*$F26/T$37/1000000000,0)</f>
        <v>0</v>
      </c>
      <c r="U108" s="160">
        <f t="shared" ref="U108:W108" si="54">IF($C108="yes",(U$60-T$60)*$F26/U$37/1000000000,0)</f>
        <v>0</v>
      </c>
      <c r="V108" s="160">
        <f t="shared" si="54"/>
        <v>0</v>
      </c>
      <c r="W108" s="160">
        <f t="shared" si="54"/>
        <v>0</v>
      </c>
      <c r="X108" s="160">
        <f>IF($C108="yes",(X$60-W$60)*$G26/X$37/1000000000,0)</f>
        <v>0</v>
      </c>
      <c r="Y108" s="160">
        <f>IF($C108="yes",(Y$60-X$60)*$G26/Y$37/1000000000,0)</f>
        <v>0</v>
      </c>
      <c r="Z108" s="160">
        <f t="shared" ref="Z108:AB108" si="55">IF($C108="yes",(Z$60-Y$60)*$G26/Z$37/1000000000,0)</f>
        <v>0</v>
      </c>
      <c r="AA108" s="160">
        <f t="shared" si="55"/>
        <v>0</v>
      </c>
      <c r="AB108" s="160">
        <f t="shared" si="55"/>
        <v>0</v>
      </c>
      <c r="AC108" s="160">
        <f>IF($C108="yes",(AC$60-AB$60)*$H26/AC$37/1000000000,0)</f>
        <v>0</v>
      </c>
      <c r="AD108" s="160">
        <f>IF($C108="yes",(AD$60-AC$60)*$H26/AD$37/1000000000,0)</f>
        <v>0</v>
      </c>
      <c r="AE108" s="160">
        <f t="shared" ref="AE108:AG108" si="56">IF($C108="yes",(AE$60-AD$60)*$H26/AE$37/1000000000,0)</f>
        <v>0</v>
      </c>
      <c r="AF108" s="160">
        <f t="shared" si="56"/>
        <v>0</v>
      </c>
      <c r="AG108" s="160">
        <f t="shared" si="56"/>
        <v>0</v>
      </c>
      <c r="AH108" s="246">
        <f>IF($C108="yes",(AH$60-AG$60)*$I26/AH$37/1000000000,0)</f>
        <v>0</v>
      </c>
      <c r="AI108" s="16"/>
    </row>
    <row r="109" spans="2:35" ht="14.45" customHeight="1" x14ac:dyDescent="0.3">
      <c r="B109" s="258" t="s">
        <v>92</v>
      </c>
      <c r="C109" s="162" t="s">
        <v>62</v>
      </c>
      <c r="D109" s="169"/>
      <c r="E109" s="361" t="s">
        <v>72</v>
      </c>
      <c r="F109" s="160">
        <f t="shared" ref="F109:U110" si="57">IF($C109="yes",(F$60-E$60)*$C28/F$37/1000000000,0)</f>
        <v>0</v>
      </c>
      <c r="G109" s="160">
        <f t="shared" si="57"/>
        <v>0</v>
      </c>
      <c r="H109" s="160">
        <f t="shared" si="57"/>
        <v>0</v>
      </c>
      <c r="I109" s="160">
        <f>IF($C109="yes",(I$60-H$60)*$D28/I$37/1000000000,0)</f>
        <v>0</v>
      </c>
      <c r="J109" s="160">
        <f>IF($C109="yes",(J$60-I$60)*$D28/J$37/1000000000,0)</f>
        <v>0</v>
      </c>
      <c r="K109" s="160">
        <f t="shared" ref="K109:M109" si="58">IF($C109="yes",(K$60-J$60)*$D28/K$37/1000000000,0)</f>
        <v>0</v>
      </c>
      <c r="L109" s="160">
        <f t="shared" si="58"/>
        <v>0</v>
      </c>
      <c r="M109" s="160">
        <f t="shared" si="58"/>
        <v>0</v>
      </c>
      <c r="N109" s="160">
        <f>IF($C109="yes",(N$60-M$60)*$E28/N$37/1000000000,0)</f>
        <v>0</v>
      </c>
      <c r="O109" s="160">
        <f>IF($C109="yes",(O$60-N$60)*$E28/O$37/1000000000,0)</f>
        <v>0</v>
      </c>
      <c r="P109" s="160">
        <f t="shared" ref="P109:R109" si="59">IF($C109="yes",(P$60-O$60)*$E28/P$37/1000000000,0)</f>
        <v>0</v>
      </c>
      <c r="Q109" s="160">
        <f t="shared" si="59"/>
        <v>0</v>
      </c>
      <c r="R109" s="160">
        <f t="shared" si="59"/>
        <v>0</v>
      </c>
      <c r="S109" s="160">
        <f>IF($C109="yes",(S$60-R$60)*$F28/S$37/1000000000,0)</f>
        <v>0</v>
      </c>
      <c r="T109" s="160">
        <f>IF($C109="yes",(T$60-S$60)*$F28/T$37/1000000000,0)</f>
        <v>0</v>
      </c>
      <c r="U109" s="160">
        <f t="shared" ref="U109:W109" si="60">IF($C109="yes",(U$60-T$60)*$F28/U$37/1000000000,0)</f>
        <v>0</v>
      </c>
      <c r="V109" s="160">
        <f t="shared" si="60"/>
        <v>0</v>
      </c>
      <c r="W109" s="160">
        <f t="shared" si="60"/>
        <v>0</v>
      </c>
      <c r="X109" s="160">
        <f>IF($C109="yes",(X$60-W$60)*$G28/X$37/1000000000,0)</f>
        <v>0</v>
      </c>
      <c r="Y109" s="160">
        <f>IF($C109="yes",(Y$60-X$60)*$G28/Y$37/1000000000,0)</f>
        <v>0</v>
      </c>
      <c r="Z109" s="160">
        <f t="shared" ref="Z109:AB109" si="61">IF($C109="yes",(Z$60-Y$60)*$G28/Z$37/1000000000,0)</f>
        <v>0</v>
      </c>
      <c r="AA109" s="160">
        <f t="shared" si="61"/>
        <v>0</v>
      </c>
      <c r="AB109" s="160">
        <f t="shared" si="61"/>
        <v>0</v>
      </c>
      <c r="AC109" s="160">
        <f>IF($C109="yes",(AC$60-AB$60)*$H28/AC$37/1000000000,0)</f>
        <v>0</v>
      </c>
      <c r="AD109" s="160">
        <f>IF($C109="yes",(AD$60-AC$60)*$H28/AD$37/1000000000,0)</f>
        <v>0</v>
      </c>
      <c r="AE109" s="160">
        <f t="shared" ref="AE109:AG109" si="62">IF($C109="yes",(AE$60-AD$60)*$H28/AE$37/1000000000,0)</f>
        <v>0</v>
      </c>
      <c r="AF109" s="160">
        <f t="shared" si="62"/>
        <v>0</v>
      </c>
      <c r="AG109" s="160">
        <f t="shared" si="62"/>
        <v>0</v>
      </c>
      <c r="AH109" s="246">
        <f>IF($C109="yes",(AH$60-AG$60)*$I28/AH$37/1000000000,0)</f>
        <v>0</v>
      </c>
      <c r="AI109" s="16"/>
    </row>
    <row r="110" spans="2:35" ht="14.45" customHeight="1" x14ac:dyDescent="0.3">
      <c r="B110" s="258" t="s">
        <v>57</v>
      </c>
      <c r="C110" s="162" t="s">
        <v>62</v>
      </c>
      <c r="D110" s="169"/>
      <c r="E110" s="361" t="s">
        <v>72</v>
      </c>
      <c r="F110" s="160">
        <f t="shared" si="57"/>
        <v>0</v>
      </c>
      <c r="G110" s="160">
        <f t="shared" si="57"/>
        <v>0</v>
      </c>
      <c r="H110" s="160">
        <f t="shared" si="57"/>
        <v>0</v>
      </c>
      <c r="I110" s="160">
        <f t="shared" si="57"/>
        <v>0</v>
      </c>
      <c r="J110" s="160">
        <f t="shared" si="57"/>
        <v>0</v>
      </c>
      <c r="K110" s="160">
        <f t="shared" si="57"/>
        <v>0</v>
      </c>
      <c r="L110" s="160">
        <f t="shared" si="57"/>
        <v>0</v>
      </c>
      <c r="M110" s="160">
        <f t="shared" si="57"/>
        <v>0</v>
      </c>
      <c r="N110" s="160">
        <f t="shared" si="57"/>
        <v>0</v>
      </c>
      <c r="O110" s="160">
        <f t="shared" si="57"/>
        <v>0</v>
      </c>
      <c r="P110" s="160">
        <f t="shared" si="57"/>
        <v>0</v>
      </c>
      <c r="Q110" s="160">
        <f t="shared" si="57"/>
        <v>0</v>
      </c>
      <c r="R110" s="160">
        <f t="shared" si="57"/>
        <v>0</v>
      </c>
      <c r="S110" s="160">
        <f t="shared" si="57"/>
        <v>0</v>
      </c>
      <c r="T110" s="160">
        <f t="shared" si="57"/>
        <v>0</v>
      </c>
      <c r="U110" s="160">
        <f t="shared" si="57"/>
        <v>0</v>
      </c>
      <c r="V110" s="160">
        <f t="shared" ref="V110:AH110" si="63">IF($C110="yes",(V$60-U$60)*$C29/V$37/1000000000,0)</f>
        <v>0</v>
      </c>
      <c r="W110" s="160">
        <f t="shared" si="63"/>
        <v>0</v>
      </c>
      <c r="X110" s="160">
        <f t="shared" si="63"/>
        <v>0</v>
      </c>
      <c r="Y110" s="160">
        <f t="shared" si="63"/>
        <v>0</v>
      </c>
      <c r="Z110" s="160">
        <f t="shared" si="63"/>
        <v>0</v>
      </c>
      <c r="AA110" s="160">
        <f t="shared" si="63"/>
        <v>0</v>
      </c>
      <c r="AB110" s="160">
        <f t="shared" si="63"/>
        <v>0</v>
      </c>
      <c r="AC110" s="160">
        <f t="shared" si="63"/>
        <v>0</v>
      </c>
      <c r="AD110" s="160">
        <f t="shared" si="63"/>
        <v>0</v>
      </c>
      <c r="AE110" s="160">
        <f t="shared" si="63"/>
        <v>0</v>
      </c>
      <c r="AF110" s="160">
        <f t="shared" si="63"/>
        <v>0</v>
      </c>
      <c r="AG110" s="160">
        <f t="shared" si="63"/>
        <v>0</v>
      </c>
      <c r="AH110" s="246">
        <f t="shared" si="63"/>
        <v>0</v>
      </c>
      <c r="AI110" s="16"/>
    </row>
    <row r="111" spans="2:35" ht="14.45" customHeight="1" x14ac:dyDescent="0.3">
      <c r="B111" s="258" t="s">
        <v>61</v>
      </c>
      <c r="C111" s="162" t="s">
        <v>127</v>
      </c>
      <c r="D111" s="169"/>
      <c r="E111" s="247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248"/>
      <c r="AI111" s="16"/>
    </row>
    <row r="112" spans="2:35" ht="14.45" customHeight="1" x14ac:dyDescent="0.3">
      <c r="B112" s="259"/>
      <c r="C112" s="120"/>
      <c r="D112" s="358"/>
      <c r="E112" s="249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250"/>
      <c r="AI112" s="16"/>
    </row>
    <row r="113" spans="2:35" ht="14.45" customHeight="1" x14ac:dyDescent="0.3">
      <c r="B113" s="260"/>
      <c r="C113" s="119"/>
      <c r="D113" s="358"/>
      <c r="E113" s="249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250"/>
      <c r="AI113" s="16"/>
    </row>
    <row r="114" spans="2:35" ht="14.45" customHeight="1" x14ac:dyDescent="0.3">
      <c r="B114" s="260" t="s">
        <v>63</v>
      </c>
      <c r="C114" s="119"/>
      <c r="D114" s="358"/>
      <c r="E114" s="249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250"/>
      <c r="AI114" s="16"/>
    </row>
    <row r="115" spans="2:35" ht="14.45" customHeight="1" x14ac:dyDescent="0.35">
      <c r="B115" s="258" t="s">
        <v>75</v>
      </c>
      <c r="C115" s="162" t="s">
        <v>62</v>
      </c>
      <c r="D115" s="169"/>
      <c r="E115" s="361" t="s">
        <v>72</v>
      </c>
      <c r="F115" s="160">
        <f t="shared" ref="F115:H115" si="64">IF($C115="yes",(F$69-E$69)*$C26/F$37/1000000000,0)</f>
        <v>0</v>
      </c>
      <c r="G115" s="160">
        <f t="shared" si="64"/>
        <v>0</v>
      </c>
      <c r="H115" s="160">
        <f t="shared" si="64"/>
        <v>0</v>
      </c>
      <c r="I115" s="160">
        <f>IF($C115="yes",(I$69-H$69)*$D26/I$37/1000000000,0)</f>
        <v>0</v>
      </c>
      <c r="J115" s="160">
        <f t="shared" ref="J115:M115" si="65">IF($C115="yes",(J$69-I$69)*$D26/J$37/1000000000,0)</f>
        <v>0</v>
      </c>
      <c r="K115" s="160">
        <f t="shared" si="65"/>
        <v>0</v>
      </c>
      <c r="L115" s="160">
        <f t="shared" si="65"/>
        <v>0</v>
      </c>
      <c r="M115" s="160">
        <f t="shared" si="65"/>
        <v>0</v>
      </c>
      <c r="N115" s="160">
        <f>IF($C115="yes",(N$69-M$69)*$E26/N$37/1000000000,0)</f>
        <v>0</v>
      </c>
      <c r="O115" s="160">
        <f t="shared" ref="O115:R115" si="66">IF($C115="yes",(O$69-N$69)*$E26/O$37/1000000000,0)</f>
        <v>0</v>
      </c>
      <c r="P115" s="160">
        <f t="shared" si="66"/>
        <v>0</v>
      </c>
      <c r="Q115" s="160">
        <f t="shared" si="66"/>
        <v>0</v>
      </c>
      <c r="R115" s="160">
        <f t="shared" si="66"/>
        <v>0</v>
      </c>
      <c r="S115" s="160">
        <f>IF($C115="yes",(S$69-R$69)*$F26/S$37/1000000000,0)</f>
        <v>0</v>
      </c>
      <c r="T115" s="160">
        <f t="shared" ref="T115:W115" si="67">IF($C115="yes",(T$69-S$69)*$F26/T$37/1000000000,0)</f>
        <v>0</v>
      </c>
      <c r="U115" s="160">
        <f t="shared" si="67"/>
        <v>0</v>
      </c>
      <c r="V115" s="160">
        <f t="shared" si="67"/>
        <v>0</v>
      </c>
      <c r="W115" s="160">
        <f t="shared" si="67"/>
        <v>0</v>
      </c>
      <c r="X115" s="160">
        <f>IF($C115="yes",(X$69-W$69)*$G26/X$37/1000000000,0)</f>
        <v>0</v>
      </c>
      <c r="Y115" s="160">
        <f t="shared" ref="Y115:AB115" si="68">IF($C115="yes",(Y$69-X$69)*$G26/Y$37/1000000000,0)</f>
        <v>0</v>
      </c>
      <c r="Z115" s="160">
        <f t="shared" si="68"/>
        <v>0</v>
      </c>
      <c r="AA115" s="160">
        <f t="shared" si="68"/>
        <v>0</v>
      </c>
      <c r="AB115" s="160">
        <f t="shared" si="68"/>
        <v>0</v>
      </c>
      <c r="AC115" s="160">
        <f>IF($C115="yes",(AC$69-AB$69)*$H26/AC$37/1000000000,0)</f>
        <v>0</v>
      </c>
      <c r="AD115" s="160">
        <f t="shared" ref="AD115:AG115" si="69">IF($C115="yes",(AD$69-AC$69)*$H26/AD$37/1000000000,0)</f>
        <v>0</v>
      </c>
      <c r="AE115" s="160">
        <f t="shared" si="69"/>
        <v>0</v>
      </c>
      <c r="AF115" s="160">
        <f t="shared" si="69"/>
        <v>0</v>
      </c>
      <c r="AG115" s="160">
        <f t="shared" si="69"/>
        <v>0</v>
      </c>
      <c r="AH115" s="246">
        <f>IF($C115="yes",(AH$69-AG$69)*$I26/AH$37/1000000000,0)</f>
        <v>0</v>
      </c>
      <c r="AI115" s="16"/>
    </row>
    <row r="116" spans="2:35" ht="14.45" customHeight="1" x14ac:dyDescent="0.3">
      <c r="B116" s="258" t="s">
        <v>92</v>
      </c>
      <c r="C116" s="162" t="s">
        <v>62</v>
      </c>
      <c r="D116" s="169"/>
      <c r="E116" s="361" t="s">
        <v>72</v>
      </c>
      <c r="F116" s="160">
        <f t="shared" ref="F116:H116" si="70">IF($C116="yes",(F$69-E$69)*$C28/F$37/1000000000,0)</f>
        <v>0</v>
      </c>
      <c r="G116" s="160">
        <f t="shared" si="70"/>
        <v>0</v>
      </c>
      <c r="H116" s="160">
        <f t="shared" si="70"/>
        <v>0</v>
      </c>
      <c r="I116" s="160">
        <f>IF($C116="yes",(I$69-H$69)*$D28/I$37/1000000000,0)</f>
        <v>0</v>
      </c>
      <c r="J116" s="160">
        <f t="shared" ref="J116:M116" si="71">IF($C116="yes",(J$69-I$69)*$D28/J$37/1000000000,0)</f>
        <v>0</v>
      </c>
      <c r="K116" s="160">
        <f t="shared" si="71"/>
        <v>0</v>
      </c>
      <c r="L116" s="160">
        <f t="shared" si="71"/>
        <v>0</v>
      </c>
      <c r="M116" s="160">
        <f t="shared" si="71"/>
        <v>0</v>
      </c>
      <c r="N116" s="160">
        <f>IF($C116="yes",(N$69-M$69)*$E28/N$37/1000000000,0)</f>
        <v>0</v>
      </c>
      <c r="O116" s="160">
        <f t="shared" ref="O116:R116" si="72">IF($C116="yes",(O$69-N$69)*$E28/O$37/1000000000,0)</f>
        <v>0</v>
      </c>
      <c r="P116" s="160">
        <f t="shared" si="72"/>
        <v>0</v>
      </c>
      <c r="Q116" s="160">
        <f t="shared" si="72"/>
        <v>0</v>
      </c>
      <c r="R116" s="160">
        <f t="shared" si="72"/>
        <v>0</v>
      </c>
      <c r="S116" s="160">
        <f>IF($C116="yes",(S$69-R$69)*$F28/S$37/1000000000,0)</f>
        <v>0</v>
      </c>
      <c r="T116" s="160">
        <f t="shared" ref="T116:W116" si="73">IF($C116="yes",(T$69-S$69)*$F28/T$37/1000000000,0)</f>
        <v>0</v>
      </c>
      <c r="U116" s="160">
        <f t="shared" si="73"/>
        <v>0</v>
      </c>
      <c r="V116" s="160">
        <f t="shared" si="73"/>
        <v>0</v>
      </c>
      <c r="W116" s="160">
        <f t="shared" si="73"/>
        <v>0</v>
      </c>
      <c r="X116" s="160">
        <f>IF($C116="yes",(X$69-W$69)*$G28/X$37/1000000000,0)</f>
        <v>0</v>
      </c>
      <c r="Y116" s="160">
        <f t="shared" ref="Y116:AB116" si="74">IF($C116="yes",(Y$69-X$69)*$G28/Y$37/1000000000,0)</f>
        <v>0</v>
      </c>
      <c r="Z116" s="160">
        <f t="shared" si="74"/>
        <v>0</v>
      </c>
      <c r="AA116" s="160">
        <f t="shared" si="74"/>
        <v>0</v>
      </c>
      <c r="AB116" s="160">
        <f t="shared" si="74"/>
        <v>0</v>
      </c>
      <c r="AC116" s="160">
        <f>IF($C116="yes",(AC$69-AB$69)*$H28/AC$37/1000000000,0)</f>
        <v>0</v>
      </c>
      <c r="AD116" s="160">
        <f t="shared" ref="AD116:AG116" si="75">IF($C116="yes",(AD$69-AC$69)*$H28/AD$37/1000000000,0)</f>
        <v>0</v>
      </c>
      <c r="AE116" s="160">
        <f t="shared" si="75"/>
        <v>0</v>
      </c>
      <c r="AF116" s="160">
        <f t="shared" si="75"/>
        <v>0</v>
      </c>
      <c r="AG116" s="160">
        <f t="shared" si="75"/>
        <v>0</v>
      </c>
      <c r="AH116" s="246">
        <f>IF($C116="yes",(AH$69-AG$69)*$I28/AH$37/1000000000,0)</f>
        <v>0</v>
      </c>
      <c r="AI116" s="16"/>
    </row>
    <row r="117" spans="2:35" ht="14.45" customHeight="1" x14ac:dyDescent="0.3">
      <c r="B117" s="259"/>
      <c r="C117" s="120"/>
      <c r="D117" s="358"/>
      <c r="E117" s="249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250"/>
      <c r="AI117" s="16"/>
    </row>
    <row r="118" spans="2:35" ht="14.45" customHeight="1" x14ac:dyDescent="0.3">
      <c r="B118" s="260"/>
      <c r="C118" s="119"/>
      <c r="D118" s="358"/>
      <c r="E118" s="249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250"/>
      <c r="AI118" s="16"/>
    </row>
    <row r="119" spans="2:35" ht="14.45" customHeight="1" x14ac:dyDescent="0.3">
      <c r="B119" s="260" t="s">
        <v>28</v>
      </c>
      <c r="C119" s="119"/>
      <c r="D119" s="358"/>
      <c r="E119" s="249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250"/>
      <c r="AI119" s="16"/>
    </row>
    <row r="120" spans="2:35" ht="14.45" customHeight="1" x14ac:dyDescent="0.3">
      <c r="B120" s="258" t="s">
        <v>138</v>
      </c>
      <c r="C120" s="162" t="s">
        <v>139</v>
      </c>
      <c r="D120" s="169"/>
      <c r="E120" s="245">
        <f>IF($C120="yes",(E$75-D$75)*$C$26/E$37/1000000000,0)</f>
        <v>0</v>
      </c>
      <c r="F120" s="160">
        <f t="shared" ref="F120:T120" si="76">IF($C120="yes",(F$75-E$75)*$C$26/F$37/1000000000,0)</f>
        <v>0</v>
      </c>
      <c r="G120" s="160">
        <f t="shared" si="76"/>
        <v>0</v>
      </c>
      <c r="H120" s="160">
        <f t="shared" si="76"/>
        <v>0</v>
      </c>
      <c r="I120" s="160">
        <f t="shared" si="76"/>
        <v>0</v>
      </c>
      <c r="J120" s="160">
        <f t="shared" si="76"/>
        <v>0</v>
      </c>
      <c r="K120" s="160">
        <f t="shared" si="76"/>
        <v>0</v>
      </c>
      <c r="L120" s="160">
        <f t="shared" si="76"/>
        <v>0</v>
      </c>
      <c r="M120" s="160">
        <f t="shared" si="76"/>
        <v>0</v>
      </c>
      <c r="N120" s="160">
        <f t="shared" si="76"/>
        <v>0</v>
      </c>
      <c r="O120" s="160">
        <f t="shared" si="76"/>
        <v>0</v>
      </c>
      <c r="P120" s="160">
        <f t="shared" si="76"/>
        <v>0</v>
      </c>
      <c r="Q120" s="160">
        <f t="shared" si="76"/>
        <v>0</v>
      </c>
      <c r="R120" s="160">
        <f t="shared" si="76"/>
        <v>0</v>
      </c>
      <c r="S120" s="160">
        <f t="shared" si="76"/>
        <v>0</v>
      </c>
      <c r="T120" s="160">
        <f t="shared" si="76"/>
        <v>0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246"/>
      <c r="AI120" s="16"/>
    </row>
    <row r="121" spans="2:35" ht="14.45" customHeight="1" x14ac:dyDescent="0.3">
      <c r="B121" s="260"/>
      <c r="C121" s="119"/>
      <c r="D121" s="358"/>
      <c r="E121" s="249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250"/>
      <c r="AI121" s="16"/>
    </row>
    <row r="122" spans="2:35" ht="14.45" customHeight="1" x14ac:dyDescent="0.3">
      <c r="B122" s="260" t="s">
        <v>64</v>
      </c>
      <c r="C122" s="119"/>
      <c r="D122" s="358"/>
      <c r="E122" s="249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250"/>
      <c r="AI122" s="16"/>
    </row>
    <row r="123" spans="2:35" ht="14.45" customHeight="1" x14ac:dyDescent="0.3">
      <c r="B123" s="64" t="s">
        <v>65</v>
      </c>
      <c r="C123" s="162"/>
      <c r="D123" s="169"/>
      <c r="E123" s="362" t="s">
        <v>134</v>
      </c>
      <c r="F123" s="354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250"/>
      <c r="AI123" s="16"/>
    </row>
    <row r="124" spans="2:35" ht="14.45" customHeight="1" x14ac:dyDescent="0.35">
      <c r="B124" s="64" t="s">
        <v>75</v>
      </c>
      <c r="C124" s="162" t="s">
        <v>62</v>
      </c>
      <c r="D124" s="169"/>
      <c r="E124" s="361" t="s">
        <v>72</v>
      </c>
      <c r="F124" s="355">
        <f t="shared" ref="F124:H124" si="77">IF($C124="yes",(F$81-E$81)*$C$26/F$37/1000000000,0)</f>
        <v>0</v>
      </c>
      <c r="G124" s="355">
        <f t="shared" si="77"/>
        <v>0</v>
      </c>
      <c r="H124" s="355">
        <f t="shared" si="77"/>
        <v>0</v>
      </c>
      <c r="I124" s="355">
        <f>IF($C124="yes",(I$81-H$81)*$D$26/I$37/1000000000,0)</f>
        <v>0</v>
      </c>
      <c r="J124" s="355">
        <f t="shared" ref="J124:M124" si="78">IF($C124="yes",(J$81-I$81)*$D$26/J$37/1000000000,0)</f>
        <v>0</v>
      </c>
      <c r="K124" s="355">
        <f t="shared" si="78"/>
        <v>0</v>
      </c>
      <c r="L124" s="355">
        <f t="shared" si="78"/>
        <v>0</v>
      </c>
      <c r="M124" s="355">
        <f t="shared" si="78"/>
        <v>0</v>
      </c>
      <c r="N124" s="355">
        <f>IF($C124="yes",(N$81-M$81)*$E$26/N$37/1000000000,0)</f>
        <v>0</v>
      </c>
      <c r="O124" s="355">
        <f t="shared" ref="O124:R124" si="79">IF($C124="yes",(O$81-N$81)*$E$26/O$37/1000000000,0)</f>
        <v>0</v>
      </c>
      <c r="P124" s="355">
        <f t="shared" si="79"/>
        <v>0</v>
      </c>
      <c r="Q124" s="355">
        <f t="shared" si="79"/>
        <v>0</v>
      </c>
      <c r="R124" s="355">
        <f t="shared" si="79"/>
        <v>0</v>
      </c>
      <c r="S124" s="355">
        <f>IF($C124="yes",(S$81-R$81)*$F$26/S$37/1000000000,0)</f>
        <v>0</v>
      </c>
      <c r="T124" s="355">
        <f t="shared" ref="T124:W124" si="80">IF($C124="yes",(T$81-S$81)*$F$26/T$37/1000000000,0)</f>
        <v>0</v>
      </c>
      <c r="U124" s="355">
        <f t="shared" si="80"/>
        <v>0</v>
      </c>
      <c r="V124" s="355">
        <f t="shared" si="80"/>
        <v>0</v>
      </c>
      <c r="W124" s="355">
        <f t="shared" si="80"/>
        <v>0</v>
      </c>
      <c r="X124" s="355">
        <f>IF($C124="yes",(X$81-W$81)*$G$26/X$37/1000000000,0)</f>
        <v>0</v>
      </c>
      <c r="Y124" s="355">
        <f t="shared" ref="Y124:AB124" si="81">IF($C124="yes",(Y$81-X$81)*$G$26/Y$37/1000000000,0)</f>
        <v>0</v>
      </c>
      <c r="Z124" s="355">
        <f t="shared" si="81"/>
        <v>0</v>
      </c>
      <c r="AA124" s="355">
        <f t="shared" si="81"/>
        <v>0</v>
      </c>
      <c r="AB124" s="355">
        <f t="shared" si="81"/>
        <v>0</v>
      </c>
      <c r="AC124" s="355">
        <f>IF($C124="yes",(AC$81-AB$81)*$H$26/AC$37/1000000000,0)</f>
        <v>0</v>
      </c>
      <c r="AD124" s="355">
        <f t="shared" ref="AD124:AG124" si="82">IF($C124="yes",(AD$81-AC$81)*$H$26/AD$37/1000000000,0)</f>
        <v>0</v>
      </c>
      <c r="AE124" s="355">
        <f t="shared" si="82"/>
        <v>0</v>
      </c>
      <c r="AF124" s="355">
        <f t="shared" si="82"/>
        <v>0</v>
      </c>
      <c r="AG124" s="355">
        <f t="shared" si="82"/>
        <v>0</v>
      </c>
      <c r="AH124" s="251">
        <f>IF($C124="yes",(AH$81-AG$81)*$I$26/AH$37/1000000000,0)</f>
        <v>0</v>
      </c>
      <c r="AI124" s="16"/>
    </row>
    <row r="125" spans="2:35" ht="14.45" customHeight="1" x14ac:dyDescent="0.3">
      <c r="B125" s="64" t="s">
        <v>92</v>
      </c>
      <c r="C125" s="162" t="s">
        <v>62</v>
      </c>
      <c r="D125" s="169"/>
      <c r="E125" s="361" t="s">
        <v>72</v>
      </c>
      <c r="F125" s="355">
        <f t="shared" ref="F125:H125" si="83">IF($C125="yes",(F$81-E$81)*$C$28/F$37/1000000000,0)</f>
        <v>0</v>
      </c>
      <c r="G125" s="355">
        <f t="shared" si="83"/>
        <v>0</v>
      </c>
      <c r="H125" s="355">
        <f t="shared" si="83"/>
        <v>0</v>
      </c>
      <c r="I125" s="355">
        <f>IF($C125="yes",(I$81-H$81)*$D$28/I$37/1000000000,0)</f>
        <v>0</v>
      </c>
      <c r="J125" s="355">
        <f t="shared" ref="J125:M125" si="84">IF($C125="yes",(J$81-I$81)*$D$28/J$37/1000000000,0)</f>
        <v>0</v>
      </c>
      <c r="K125" s="355">
        <f t="shared" si="84"/>
        <v>0</v>
      </c>
      <c r="L125" s="355">
        <f t="shared" si="84"/>
        <v>0</v>
      </c>
      <c r="M125" s="355">
        <f t="shared" si="84"/>
        <v>0</v>
      </c>
      <c r="N125" s="355">
        <f>IF($C125="yes",(N$81-M$81)*$E$28/N$37/1000000000,0)</f>
        <v>0</v>
      </c>
      <c r="O125" s="355">
        <f t="shared" ref="O125:R125" si="85">IF($C125="yes",(O$81-N$81)*$E$28/O$37/1000000000,0)</f>
        <v>0</v>
      </c>
      <c r="P125" s="355">
        <f t="shared" si="85"/>
        <v>0</v>
      </c>
      <c r="Q125" s="355">
        <f t="shared" si="85"/>
        <v>0</v>
      </c>
      <c r="R125" s="355">
        <f t="shared" si="85"/>
        <v>0</v>
      </c>
      <c r="S125" s="355">
        <f>IF($C125="yes",(S$81-R$81)*$F$28/S$37/1000000000,0)</f>
        <v>0</v>
      </c>
      <c r="T125" s="355">
        <f t="shared" ref="T125:W125" si="86">IF($C125="yes",(T$81-S$81)*$F$28/T$37/1000000000,0)</f>
        <v>0</v>
      </c>
      <c r="U125" s="355">
        <f t="shared" si="86"/>
        <v>0</v>
      </c>
      <c r="V125" s="355">
        <f t="shared" si="86"/>
        <v>0</v>
      </c>
      <c r="W125" s="355">
        <f t="shared" si="86"/>
        <v>0</v>
      </c>
      <c r="X125" s="355">
        <f>IF($C125="yes",(X$81-W$81)*$G$28/X$37/1000000000,0)</f>
        <v>0</v>
      </c>
      <c r="Y125" s="355">
        <f t="shared" ref="Y125:AB125" si="87">IF($C125="yes",(Y$81-X$81)*$G$28/Y$37/1000000000,0)</f>
        <v>0</v>
      </c>
      <c r="Z125" s="355">
        <f t="shared" si="87"/>
        <v>0</v>
      </c>
      <c r="AA125" s="355">
        <f t="shared" si="87"/>
        <v>0</v>
      </c>
      <c r="AB125" s="355">
        <f t="shared" si="87"/>
        <v>0</v>
      </c>
      <c r="AC125" s="355">
        <f>IF($C125="yes",(AC$81-AB$81)*$H$28/AC$37/1000000000,0)</f>
        <v>0</v>
      </c>
      <c r="AD125" s="355">
        <f t="shared" ref="AD125:AG125" si="88">IF($C125="yes",(AD$81-AC$81)*$H$28/AD$37/1000000000,0)</f>
        <v>0</v>
      </c>
      <c r="AE125" s="355">
        <f t="shared" si="88"/>
        <v>0</v>
      </c>
      <c r="AF125" s="355">
        <f t="shared" si="88"/>
        <v>0</v>
      </c>
      <c r="AG125" s="355">
        <f t="shared" si="88"/>
        <v>0</v>
      </c>
      <c r="AH125" s="251">
        <f>IF($C125="yes",(AH$81-AG$81)*$I$28/AH$37/1000000000,0)</f>
        <v>0</v>
      </c>
      <c r="AI125" s="16"/>
    </row>
    <row r="126" spans="2:35" ht="14.45" customHeight="1" x14ac:dyDescent="0.3">
      <c r="B126" s="64" t="s">
        <v>57</v>
      </c>
      <c r="C126" s="162" t="s">
        <v>62</v>
      </c>
      <c r="D126" s="169"/>
      <c r="E126" s="361" t="s">
        <v>72</v>
      </c>
      <c r="F126" s="355">
        <f t="shared" ref="F126:AH126" si="89">IF($C126="yes",(F$81-E$81)*$C$29/F$37/1000000000,0)</f>
        <v>0</v>
      </c>
      <c r="G126" s="355">
        <f t="shared" si="89"/>
        <v>0</v>
      </c>
      <c r="H126" s="355">
        <f t="shared" si="89"/>
        <v>0</v>
      </c>
      <c r="I126" s="355">
        <f t="shared" si="89"/>
        <v>0</v>
      </c>
      <c r="J126" s="355">
        <f t="shared" si="89"/>
        <v>0</v>
      </c>
      <c r="K126" s="355">
        <f t="shared" si="89"/>
        <v>0</v>
      </c>
      <c r="L126" s="355">
        <f t="shared" si="89"/>
        <v>0</v>
      </c>
      <c r="M126" s="355">
        <f t="shared" si="89"/>
        <v>0</v>
      </c>
      <c r="N126" s="355">
        <f t="shared" si="89"/>
        <v>0</v>
      </c>
      <c r="O126" s="355">
        <f t="shared" si="89"/>
        <v>0</v>
      </c>
      <c r="P126" s="355">
        <f t="shared" si="89"/>
        <v>0</v>
      </c>
      <c r="Q126" s="355">
        <f t="shared" si="89"/>
        <v>0</v>
      </c>
      <c r="R126" s="355">
        <f t="shared" si="89"/>
        <v>0</v>
      </c>
      <c r="S126" s="355">
        <f t="shared" si="89"/>
        <v>0</v>
      </c>
      <c r="T126" s="355">
        <f t="shared" si="89"/>
        <v>0</v>
      </c>
      <c r="U126" s="355">
        <f t="shared" si="89"/>
        <v>0</v>
      </c>
      <c r="V126" s="355">
        <f t="shared" si="89"/>
        <v>0</v>
      </c>
      <c r="W126" s="355">
        <f t="shared" si="89"/>
        <v>0</v>
      </c>
      <c r="X126" s="355">
        <f t="shared" si="89"/>
        <v>0</v>
      </c>
      <c r="Y126" s="355">
        <f t="shared" si="89"/>
        <v>0</v>
      </c>
      <c r="Z126" s="355">
        <f t="shared" si="89"/>
        <v>0</v>
      </c>
      <c r="AA126" s="355">
        <f t="shared" si="89"/>
        <v>0</v>
      </c>
      <c r="AB126" s="355">
        <f t="shared" si="89"/>
        <v>0</v>
      </c>
      <c r="AC126" s="355">
        <f t="shared" si="89"/>
        <v>0</v>
      </c>
      <c r="AD126" s="355">
        <f t="shared" si="89"/>
        <v>0</v>
      </c>
      <c r="AE126" s="355">
        <f t="shared" si="89"/>
        <v>0</v>
      </c>
      <c r="AF126" s="355">
        <f t="shared" si="89"/>
        <v>0</v>
      </c>
      <c r="AG126" s="355">
        <f t="shared" si="89"/>
        <v>0</v>
      </c>
      <c r="AH126" s="251">
        <f t="shared" si="89"/>
        <v>0</v>
      </c>
      <c r="AI126" s="16"/>
    </row>
    <row r="127" spans="2:35" ht="14.45" customHeight="1" x14ac:dyDescent="0.3">
      <c r="B127" s="64" t="s">
        <v>61</v>
      </c>
      <c r="C127" s="162" t="s">
        <v>127</v>
      </c>
      <c r="D127" s="169"/>
      <c r="E127" s="247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248"/>
      <c r="AI127" s="16"/>
    </row>
    <row r="128" spans="2:35" ht="14.45" customHeight="1" x14ac:dyDescent="0.3">
      <c r="B128" s="260"/>
      <c r="C128" s="119"/>
      <c r="D128" s="358"/>
      <c r="E128" s="249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250"/>
      <c r="AI128" s="16"/>
    </row>
    <row r="129" spans="2:35" ht="14.45" customHeight="1" x14ac:dyDescent="0.3">
      <c r="B129" s="260" t="s">
        <v>91</v>
      </c>
      <c r="C129" s="119"/>
      <c r="D129" s="359"/>
      <c r="E129" s="249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250"/>
      <c r="AI129" s="16"/>
    </row>
    <row r="130" spans="2:35" ht="14.45" customHeight="1" x14ac:dyDescent="0.3">
      <c r="B130" s="64" t="s">
        <v>66</v>
      </c>
      <c r="C130" s="162" t="s">
        <v>127</v>
      </c>
      <c r="D130" s="169"/>
      <c r="E130" s="247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248"/>
      <c r="AI130" s="16"/>
    </row>
    <row r="131" spans="2:35" ht="14.45" customHeight="1" x14ac:dyDescent="0.35">
      <c r="B131" s="64" t="s">
        <v>75</v>
      </c>
      <c r="C131" s="162" t="s">
        <v>127</v>
      </c>
      <c r="D131" s="169"/>
      <c r="E131" s="247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248"/>
      <c r="AI131" s="16"/>
    </row>
    <row r="132" spans="2:35" ht="14.45" customHeight="1" x14ac:dyDescent="0.3">
      <c r="B132" s="64" t="s">
        <v>92</v>
      </c>
      <c r="C132" s="162" t="s">
        <v>127</v>
      </c>
      <c r="D132" s="169"/>
      <c r="E132" s="247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248"/>
      <c r="AI132" s="16"/>
    </row>
    <row r="133" spans="2:35" ht="14.45" customHeight="1" x14ac:dyDescent="0.3">
      <c r="B133" s="64" t="s">
        <v>57</v>
      </c>
      <c r="C133" s="162" t="s">
        <v>127</v>
      </c>
      <c r="D133" s="169"/>
      <c r="E133" s="247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248"/>
      <c r="AI133" s="16"/>
    </row>
    <row r="134" spans="2:35" ht="14.45" customHeight="1" thickBot="1" x14ac:dyDescent="0.35">
      <c r="B134" s="64" t="s">
        <v>61</v>
      </c>
      <c r="C134" s="162" t="s">
        <v>127</v>
      </c>
      <c r="D134" s="169"/>
      <c r="E134" s="363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5"/>
      <c r="AI134" s="16"/>
    </row>
    <row r="135" spans="2:35" ht="14.45" customHeight="1" x14ac:dyDescent="0.3">
      <c r="B135" s="280"/>
      <c r="C135" s="366"/>
      <c r="D135" s="367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6"/>
    </row>
    <row r="136" spans="2:35" ht="22.9" customHeight="1" x14ac:dyDescent="0.35">
      <c r="B136" s="252" t="s">
        <v>31</v>
      </c>
      <c r="C136" s="86"/>
      <c r="D136" s="86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6"/>
    </row>
    <row r="137" spans="2:35" ht="14.45" customHeight="1" thickBot="1" x14ac:dyDescent="0.3">
      <c r="B137" s="76"/>
      <c r="C137" s="254"/>
      <c r="D137" s="25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255"/>
      <c r="AI137" s="16"/>
    </row>
    <row r="138" spans="2:35" ht="14.45" customHeight="1" thickBot="1" x14ac:dyDescent="0.3">
      <c r="B138" s="253" t="s">
        <v>122</v>
      </c>
      <c r="C138" s="102">
        <v>2019</v>
      </c>
      <c r="D138" s="168">
        <f t="shared" ref="D138:AH138" si="90">1+C138</f>
        <v>2020</v>
      </c>
      <c r="E138" s="44">
        <f t="shared" si="90"/>
        <v>2021</v>
      </c>
      <c r="F138" s="42">
        <f t="shared" si="90"/>
        <v>2022</v>
      </c>
      <c r="G138" s="42">
        <f t="shared" si="90"/>
        <v>2023</v>
      </c>
      <c r="H138" s="42">
        <f t="shared" si="90"/>
        <v>2024</v>
      </c>
      <c r="I138" s="42">
        <f t="shared" si="90"/>
        <v>2025</v>
      </c>
      <c r="J138" s="42">
        <f t="shared" si="90"/>
        <v>2026</v>
      </c>
      <c r="K138" s="42">
        <f t="shared" si="90"/>
        <v>2027</v>
      </c>
      <c r="L138" s="42">
        <f t="shared" si="90"/>
        <v>2028</v>
      </c>
      <c r="M138" s="42">
        <f t="shared" si="90"/>
        <v>2029</v>
      </c>
      <c r="N138" s="42">
        <f t="shared" si="90"/>
        <v>2030</v>
      </c>
      <c r="O138" s="42">
        <f t="shared" si="90"/>
        <v>2031</v>
      </c>
      <c r="P138" s="42">
        <f t="shared" si="90"/>
        <v>2032</v>
      </c>
      <c r="Q138" s="42">
        <f t="shared" si="90"/>
        <v>2033</v>
      </c>
      <c r="R138" s="42">
        <f t="shared" si="90"/>
        <v>2034</v>
      </c>
      <c r="S138" s="42">
        <f t="shared" si="90"/>
        <v>2035</v>
      </c>
      <c r="T138" s="42">
        <f t="shared" si="90"/>
        <v>2036</v>
      </c>
      <c r="U138" s="42">
        <f t="shared" si="90"/>
        <v>2037</v>
      </c>
      <c r="V138" s="42">
        <f t="shared" si="90"/>
        <v>2038</v>
      </c>
      <c r="W138" s="42">
        <f t="shared" si="90"/>
        <v>2039</v>
      </c>
      <c r="X138" s="42">
        <f t="shared" si="90"/>
        <v>2040</v>
      </c>
      <c r="Y138" s="42">
        <f t="shared" si="90"/>
        <v>2041</v>
      </c>
      <c r="Z138" s="42">
        <f t="shared" si="90"/>
        <v>2042</v>
      </c>
      <c r="AA138" s="42">
        <f t="shared" si="90"/>
        <v>2043</v>
      </c>
      <c r="AB138" s="42">
        <f t="shared" si="90"/>
        <v>2044</v>
      </c>
      <c r="AC138" s="42">
        <f t="shared" si="90"/>
        <v>2045</v>
      </c>
      <c r="AD138" s="42">
        <f t="shared" si="90"/>
        <v>2046</v>
      </c>
      <c r="AE138" s="42">
        <f t="shared" si="90"/>
        <v>2047</v>
      </c>
      <c r="AF138" s="42">
        <f t="shared" si="90"/>
        <v>2048</v>
      </c>
      <c r="AG138" s="45">
        <f t="shared" si="90"/>
        <v>2049</v>
      </c>
      <c r="AH138" s="45">
        <f t="shared" si="90"/>
        <v>2050</v>
      </c>
      <c r="AI138" s="16"/>
    </row>
    <row r="139" spans="2:35" ht="14.45" customHeight="1" x14ac:dyDescent="0.25">
      <c r="B139" s="278"/>
      <c r="C139" s="279"/>
      <c r="D139" s="279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16"/>
    </row>
    <row r="140" spans="2:35" ht="14.45" customHeight="1" x14ac:dyDescent="0.3">
      <c r="B140" s="72" t="s">
        <v>136</v>
      </c>
      <c r="C140" s="47"/>
      <c r="D140" s="47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16"/>
    </row>
    <row r="141" spans="2:35" ht="30.6" customHeight="1" x14ac:dyDescent="0.25">
      <c r="B141" s="399" t="s">
        <v>144</v>
      </c>
      <c r="C141" s="399"/>
      <c r="D141" s="399"/>
      <c r="E141" s="283" t="s">
        <v>72</v>
      </c>
      <c r="F141" s="284">
        <f t="shared" ref="F141:AH141" si="91">F90</f>
        <v>9.7328460250192296E-4</v>
      </c>
      <c r="G141" s="284">
        <f t="shared" si="91"/>
        <v>1.294826746499873E-3</v>
      </c>
      <c r="H141" s="284">
        <f t="shared" si="91"/>
        <v>7.8657726026606228E-4</v>
      </c>
      <c r="I141" s="284">
        <f t="shared" si="91"/>
        <v>7.7470174841922507E-4</v>
      </c>
      <c r="J141" s="284">
        <f t="shared" si="91"/>
        <v>9.366467523089575E-5</v>
      </c>
      <c r="K141" s="284">
        <f t="shared" si="91"/>
        <v>6.8845223233839417E-4</v>
      </c>
      <c r="L141" s="284">
        <f t="shared" si="91"/>
        <v>-3.4482612997051645E-4</v>
      </c>
      <c r="M141" s="284">
        <f t="shared" si="91"/>
        <v>-3.4431017256784588E-4</v>
      </c>
      <c r="N141" s="284">
        <f t="shared" si="91"/>
        <v>-5.0764798052021012E-4</v>
      </c>
      <c r="O141" s="284">
        <f t="shared" si="91"/>
        <v>-1.2375169487200376E-4</v>
      </c>
      <c r="P141" s="284">
        <f t="shared" si="91"/>
        <v>4.7254828946418324E-4</v>
      </c>
      <c r="Q141" s="284">
        <f t="shared" si="91"/>
        <v>-2.8429369156197058E-4</v>
      </c>
      <c r="R141" s="284">
        <f t="shared" si="91"/>
        <v>-5.1387705130815503E-4</v>
      </c>
      <c r="S141" s="284">
        <f t="shared" si="91"/>
        <v>-7.3341017763611099E-5</v>
      </c>
      <c r="T141" s="284">
        <f t="shared" si="91"/>
        <v>2.4801686719356716E-4</v>
      </c>
      <c r="U141" s="284">
        <f t="shared" si="91"/>
        <v>5.3294070472194657E-5</v>
      </c>
      <c r="V141" s="284">
        <f t="shared" si="91"/>
        <v>-2.8950944123874722E-4</v>
      </c>
      <c r="W141" s="284">
        <f t="shared" si="91"/>
        <v>-3.1086819126932563E-5</v>
      </c>
      <c r="X141" s="284">
        <f t="shared" si="91"/>
        <v>-5.6831704316050169E-5</v>
      </c>
      <c r="Y141" s="284">
        <f t="shared" si="91"/>
        <v>-8.0470174916654966E-5</v>
      </c>
      <c r="Z141" s="284">
        <f t="shared" si="91"/>
        <v>-5.4086101260033062E-4</v>
      </c>
      <c r="AA141" s="284">
        <f t="shared" si="91"/>
        <v>-7.5369337619441562E-4</v>
      </c>
      <c r="AB141" s="284">
        <f t="shared" si="91"/>
        <v>-4.7530565210764791E-4</v>
      </c>
      <c r="AC141" s="284">
        <f t="shared" si="91"/>
        <v>-1.2648181155468403E-4</v>
      </c>
      <c r="AD141" s="284">
        <f t="shared" si="91"/>
        <v>-4.770976353016803E-4</v>
      </c>
      <c r="AE141" s="284">
        <f t="shared" si="91"/>
        <v>-4.8351241127322399E-4</v>
      </c>
      <c r="AF141" s="284">
        <f t="shared" si="91"/>
        <v>-4.8961358224556585E-4</v>
      </c>
      <c r="AG141" s="284">
        <f t="shared" si="91"/>
        <v>-4.9645806472451218E-4</v>
      </c>
      <c r="AH141" s="284">
        <f t="shared" si="91"/>
        <v>-5.0306196934843568E-4</v>
      </c>
      <c r="AI141" s="16"/>
    </row>
    <row r="142" spans="2:35" ht="14.45" customHeight="1" x14ac:dyDescent="0.25">
      <c r="B142" s="404" t="s">
        <v>145</v>
      </c>
      <c r="C142" s="405"/>
      <c r="D142" s="406"/>
      <c r="E142" s="283" t="s">
        <v>72</v>
      </c>
      <c r="F142" s="284">
        <f t="shared" ref="F142:AH142" si="92">-(F98+F107)</f>
        <v>-1.56E-3</v>
      </c>
      <c r="G142" s="284"/>
      <c r="H142" s="284">
        <f t="shared" si="92"/>
        <v>-1.0919999999999999E-3</v>
      </c>
      <c r="I142" s="284">
        <f t="shared" si="92"/>
        <v>-1.0919999999999999E-3</v>
      </c>
      <c r="J142" s="284">
        <f t="shared" si="92"/>
        <v>-1.0919999999999999E-3</v>
      </c>
      <c r="K142" s="284">
        <f t="shared" si="92"/>
        <v>-1.0919999999999999E-3</v>
      </c>
      <c r="L142" s="284">
        <f t="shared" si="92"/>
        <v>-1.0919999999999999E-3</v>
      </c>
      <c r="M142" s="284">
        <f t="shared" si="92"/>
        <v>-1.0919999999999999E-3</v>
      </c>
      <c r="N142" s="284">
        <f t="shared" si="92"/>
        <v>-1.0919999999999999E-3</v>
      </c>
      <c r="O142" s="284">
        <f t="shared" si="92"/>
        <v>0</v>
      </c>
      <c r="P142" s="284">
        <f t="shared" si="92"/>
        <v>0</v>
      </c>
      <c r="Q142" s="284">
        <f t="shared" si="92"/>
        <v>0</v>
      </c>
      <c r="R142" s="284">
        <f t="shared" si="92"/>
        <v>0</v>
      </c>
      <c r="S142" s="284">
        <f t="shared" si="92"/>
        <v>0</v>
      </c>
      <c r="T142" s="284">
        <f t="shared" si="92"/>
        <v>0</v>
      </c>
      <c r="U142" s="284">
        <f t="shared" si="92"/>
        <v>0</v>
      </c>
      <c r="V142" s="284">
        <f t="shared" si="92"/>
        <v>0</v>
      </c>
      <c r="W142" s="284">
        <f t="shared" si="92"/>
        <v>0</v>
      </c>
      <c r="X142" s="284">
        <f t="shared" si="92"/>
        <v>0</v>
      </c>
      <c r="Y142" s="284">
        <f t="shared" si="92"/>
        <v>0</v>
      </c>
      <c r="Z142" s="284">
        <f t="shared" si="92"/>
        <v>0</v>
      </c>
      <c r="AA142" s="284">
        <f t="shared" si="92"/>
        <v>0</v>
      </c>
      <c r="AB142" s="284">
        <f t="shared" si="92"/>
        <v>0</v>
      </c>
      <c r="AC142" s="284">
        <f t="shared" si="92"/>
        <v>0</v>
      </c>
      <c r="AD142" s="284">
        <f t="shared" si="92"/>
        <v>0</v>
      </c>
      <c r="AE142" s="284">
        <f t="shared" si="92"/>
        <v>0</v>
      </c>
      <c r="AF142" s="284">
        <f t="shared" si="92"/>
        <v>0</v>
      </c>
      <c r="AG142" s="284">
        <f t="shared" si="92"/>
        <v>0</v>
      </c>
      <c r="AH142" s="284">
        <f t="shared" si="92"/>
        <v>0</v>
      </c>
      <c r="AI142" s="16"/>
    </row>
    <row r="143" spans="2:35" ht="14.45" customHeight="1" x14ac:dyDescent="0.25">
      <c r="B143" s="404" t="s">
        <v>146</v>
      </c>
      <c r="C143" s="405"/>
      <c r="D143" s="406"/>
      <c r="E143" s="283" t="s">
        <v>72</v>
      </c>
      <c r="F143" s="284">
        <f>F141+F142</f>
        <v>-5.8671539749807701E-4</v>
      </c>
      <c r="G143" s="284"/>
      <c r="H143" s="284">
        <f t="shared" ref="H143:AH143" si="93">H141+H142</f>
        <v>-3.0542273973393759E-4</v>
      </c>
      <c r="I143" s="284">
        <f t="shared" si="93"/>
        <v>-3.172982515807748E-4</v>
      </c>
      <c r="J143" s="284">
        <f t="shared" si="93"/>
        <v>-9.9833532476910412E-4</v>
      </c>
      <c r="K143" s="284">
        <f t="shared" si="93"/>
        <v>-4.035477676616057E-4</v>
      </c>
      <c r="L143" s="284">
        <f t="shared" si="93"/>
        <v>-1.4368261299705163E-3</v>
      </c>
      <c r="M143" s="284">
        <f t="shared" si="93"/>
        <v>-1.4363101725678458E-3</v>
      </c>
      <c r="N143" s="284">
        <f t="shared" si="93"/>
        <v>-1.59964798052021E-3</v>
      </c>
      <c r="O143" s="284">
        <f t="shared" si="93"/>
        <v>-1.2375169487200376E-4</v>
      </c>
      <c r="P143" s="284">
        <f t="shared" si="93"/>
        <v>4.7254828946418324E-4</v>
      </c>
      <c r="Q143" s="284">
        <f t="shared" si="93"/>
        <v>-2.8429369156197058E-4</v>
      </c>
      <c r="R143" s="284">
        <f t="shared" si="93"/>
        <v>-5.1387705130815503E-4</v>
      </c>
      <c r="S143" s="284">
        <f t="shared" si="93"/>
        <v>-7.3341017763611099E-5</v>
      </c>
      <c r="T143" s="284">
        <f t="shared" si="93"/>
        <v>2.4801686719356716E-4</v>
      </c>
      <c r="U143" s="284">
        <f t="shared" si="93"/>
        <v>5.3294070472194657E-5</v>
      </c>
      <c r="V143" s="284">
        <f t="shared" si="93"/>
        <v>-2.8950944123874722E-4</v>
      </c>
      <c r="W143" s="284">
        <f t="shared" si="93"/>
        <v>-3.1086819126932563E-5</v>
      </c>
      <c r="X143" s="284">
        <f t="shared" si="93"/>
        <v>-5.6831704316050169E-5</v>
      </c>
      <c r="Y143" s="284">
        <f t="shared" si="93"/>
        <v>-8.0470174916654966E-5</v>
      </c>
      <c r="Z143" s="284">
        <f t="shared" si="93"/>
        <v>-5.4086101260033062E-4</v>
      </c>
      <c r="AA143" s="284">
        <f t="shared" si="93"/>
        <v>-7.5369337619441562E-4</v>
      </c>
      <c r="AB143" s="284">
        <f t="shared" si="93"/>
        <v>-4.7530565210764791E-4</v>
      </c>
      <c r="AC143" s="284">
        <f t="shared" si="93"/>
        <v>-1.2648181155468403E-4</v>
      </c>
      <c r="AD143" s="284">
        <f t="shared" si="93"/>
        <v>-4.770976353016803E-4</v>
      </c>
      <c r="AE143" s="284">
        <f t="shared" si="93"/>
        <v>-4.8351241127322399E-4</v>
      </c>
      <c r="AF143" s="284">
        <f t="shared" si="93"/>
        <v>-4.8961358224556585E-4</v>
      </c>
      <c r="AG143" s="284">
        <f t="shared" si="93"/>
        <v>-4.9645806472451218E-4</v>
      </c>
      <c r="AH143" s="284">
        <f t="shared" si="93"/>
        <v>-5.0306196934843568E-4</v>
      </c>
      <c r="AI143" s="16"/>
    </row>
    <row r="144" spans="2:35" ht="14.45" customHeight="1" x14ac:dyDescent="0.25">
      <c r="B144" s="51"/>
      <c r="C144" s="47"/>
      <c r="D144" s="47"/>
      <c r="E144" s="281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16"/>
    </row>
    <row r="145" spans="2:35" ht="14.45" customHeight="1" x14ac:dyDescent="0.3">
      <c r="B145" s="72" t="s">
        <v>137</v>
      </c>
      <c r="C145" s="47"/>
      <c r="D145" s="47"/>
      <c r="E145" s="28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16"/>
    </row>
    <row r="146" spans="2:35" ht="31.15" customHeight="1" x14ac:dyDescent="0.25">
      <c r="B146" s="415" t="s">
        <v>129</v>
      </c>
      <c r="C146" s="415"/>
      <c r="D146" s="415"/>
      <c r="E146" s="285" t="s">
        <v>72</v>
      </c>
      <c r="F146" s="288">
        <f>F143*850</f>
        <v>-0.49870808787336546</v>
      </c>
      <c r="G146" s="288">
        <f t="shared" ref="G146:AH146" si="94">G143*850</f>
        <v>0</v>
      </c>
      <c r="H146" s="288">
        <f t="shared" si="94"/>
        <v>-0.25960932877384696</v>
      </c>
      <c r="I146" s="288">
        <f t="shared" si="94"/>
        <v>-0.26970351384365859</v>
      </c>
      <c r="J146" s="288">
        <f t="shared" si="94"/>
        <v>-0.84858502605373853</v>
      </c>
      <c r="K146" s="288">
        <f t="shared" si="94"/>
        <v>-0.34301560251236485</v>
      </c>
      <c r="L146" s="288">
        <f t="shared" si="94"/>
        <v>-1.2213022104749389</v>
      </c>
      <c r="M146" s="288">
        <f t="shared" si="94"/>
        <v>-1.2208636466826688</v>
      </c>
      <c r="N146" s="288">
        <f t="shared" si="94"/>
        <v>-1.3597007834421786</v>
      </c>
      <c r="O146" s="288">
        <f t="shared" si="94"/>
        <v>-0.1051889406412032</v>
      </c>
      <c r="P146" s="288">
        <f t="shared" si="94"/>
        <v>0.40166604604455575</v>
      </c>
      <c r="Q146" s="288">
        <f t="shared" si="94"/>
        <v>-0.24164963782767498</v>
      </c>
      <c r="R146" s="288">
        <f t="shared" si="94"/>
        <v>-0.43679549361193176</v>
      </c>
      <c r="S146" s="288">
        <f t="shared" si="94"/>
        <v>-6.2339865099069434E-2</v>
      </c>
      <c r="T146" s="288">
        <f t="shared" si="94"/>
        <v>0.2108143371145321</v>
      </c>
      <c r="U146" s="288">
        <f t="shared" si="94"/>
        <v>4.5299959901365455E-2</v>
      </c>
      <c r="V146" s="288">
        <f t="shared" si="94"/>
        <v>-0.24608302505293514</v>
      </c>
      <c r="W146" s="288">
        <f t="shared" si="94"/>
        <v>-2.6423796257892679E-2</v>
      </c>
      <c r="X146" s="288">
        <f t="shared" si="94"/>
        <v>-4.8306948668642644E-2</v>
      </c>
      <c r="Y146" s="288">
        <f t="shared" si="94"/>
        <v>-6.8399648679156724E-2</v>
      </c>
      <c r="Z146" s="288">
        <f t="shared" si="94"/>
        <v>-0.45973186071028105</v>
      </c>
      <c r="AA146" s="288">
        <f t="shared" si="94"/>
        <v>-0.64063936976525326</v>
      </c>
      <c r="AB146" s="288">
        <f t="shared" si="94"/>
        <v>-0.40400980429150074</v>
      </c>
      <c r="AC146" s="288">
        <f t="shared" si="94"/>
        <v>-0.10750953982148143</v>
      </c>
      <c r="AD146" s="288">
        <f t="shared" si="94"/>
        <v>-0.40553299000642823</v>
      </c>
      <c r="AE146" s="288">
        <f t="shared" si="94"/>
        <v>-0.41098554958224037</v>
      </c>
      <c r="AF146" s="288">
        <f t="shared" si="94"/>
        <v>-0.41617154490873098</v>
      </c>
      <c r="AG146" s="288">
        <f t="shared" si="94"/>
        <v>-0.42198935501583534</v>
      </c>
      <c r="AH146" s="288">
        <f t="shared" si="94"/>
        <v>-0.42760267394617035</v>
      </c>
    </row>
    <row r="147" spans="2:35" ht="19.899999999999999" customHeight="1" thickBot="1" x14ac:dyDescent="0.3">
      <c r="B147" s="401" t="s">
        <v>135</v>
      </c>
      <c r="C147" s="402"/>
      <c r="D147" s="403"/>
      <c r="E147" s="385" t="s">
        <v>62</v>
      </c>
      <c r="F147" s="386">
        <f t="shared" ref="F147:AH147" si="95">IF($E$147="yes",-(F80-E80)*850*(0.15+F143),0)</f>
        <v>0</v>
      </c>
      <c r="G147" s="386">
        <f t="shared" si="95"/>
        <v>0</v>
      </c>
      <c r="H147" s="386">
        <f t="shared" si="95"/>
        <v>0</v>
      </c>
      <c r="I147" s="386">
        <f t="shared" si="95"/>
        <v>0</v>
      </c>
      <c r="J147" s="386">
        <f t="shared" si="95"/>
        <v>0</v>
      </c>
      <c r="K147" s="386">
        <f t="shared" si="95"/>
        <v>0</v>
      </c>
      <c r="L147" s="386">
        <f t="shared" si="95"/>
        <v>0</v>
      </c>
      <c r="M147" s="386">
        <f t="shared" si="95"/>
        <v>0</v>
      </c>
      <c r="N147" s="386">
        <f t="shared" si="95"/>
        <v>0</v>
      </c>
      <c r="O147" s="386">
        <f t="shared" si="95"/>
        <v>0</v>
      </c>
      <c r="P147" s="386">
        <f t="shared" si="95"/>
        <v>0</v>
      </c>
      <c r="Q147" s="386">
        <f t="shared" si="95"/>
        <v>0</v>
      </c>
      <c r="R147" s="386">
        <f t="shared" si="95"/>
        <v>0</v>
      </c>
      <c r="S147" s="386">
        <f t="shared" si="95"/>
        <v>0</v>
      </c>
      <c r="T147" s="386">
        <f t="shared" si="95"/>
        <v>0</v>
      </c>
      <c r="U147" s="386">
        <f t="shared" si="95"/>
        <v>0</v>
      </c>
      <c r="V147" s="386">
        <f t="shared" si="95"/>
        <v>0</v>
      </c>
      <c r="W147" s="386">
        <f t="shared" si="95"/>
        <v>0</v>
      </c>
      <c r="X147" s="386">
        <f t="shared" si="95"/>
        <v>0</v>
      </c>
      <c r="Y147" s="386">
        <f t="shared" si="95"/>
        <v>0</v>
      </c>
      <c r="Z147" s="386">
        <f t="shared" si="95"/>
        <v>0</v>
      </c>
      <c r="AA147" s="386">
        <f t="shared" si="95"/>
        <v>0</v>
      </c>
      <c r="AB147" s="386">
        <f t="shared" si="95"/>
        <v>0</v>
      </c>
      <c r="AC147" s="386">
        <f t="shared" si="95"/>
        <v>0</v>
      </c>
      <c r="AD147" s="386">
        <f t="shared" si="95"/>
        <v>0</v>
      </c>
      <c r="AE147" s="386">
        <f t="shared" si="95"/>
        <v>0</v>
      </c>
      <c r="AF147" s="386">
        <f t="shared" si="95"/>
        <v>0</v>
      </c>
      <c r="AG147" s="386">
        <f t="shared" si="95"/>
        <v>0</v>
      </c>
      <c r="AH147" s="386">
        <f t="shared" si="95"/>
        <v>0</v>
      </c>
    </row>
    <row r="148" spans="2:35" ht="33.6" customHeight="1" thickTop="1" x14ac:dyDescent="0.25">
      <c r="B148" s="416" t="s">
        <v>147</v>
      </c>
      <c r="C148" s="417"/>
      <c r="D148" s="417"/>
      <c r="E148" s="387" t="s">
        <v>72</v>
      </c>
      <c r="F148" s="388">
        <f>F146+F147</f>
        <v>-0.49870808787336546</v>
      </c>
      <c r="G148" s="388">
        <f t="shared" ref="G148:AH148" si="96">G146+G147</f>
        <v>0</v>
      </c>
      <c r="H148" s="388">
        <f t="shared" si="96"/>
        <v>-0.25960932877384696</v>
      </c>
      <c r="I148" s="388">
        <f t="shared" si="96"/>
        <v>-0.26970351384365859</v>
      </c>
      <c r="J148" s="388">
        <f t="shared" si="96"/>
        <v>-0.84858502605373853</v>
      </c>
      <c r="K148" s="388">
        <f t="shared" si="96"/>
        <v>-0.34301560251236485</v>
      </c>
      <c r="L148" s="388">
        <f t="shared" si="96"/>
        <v>-1.2213022104749389</v>
      </c>
      <c r="M148" s="388">
        <f t="shared" si="96"/>
        <v>-1.2208636466826688</v>
      </c>
      <c r="N148" s="388">
        <f t="shared" si="96"/>
        <v>-1.3597007834421786</v>
      </c>
      <c r="O148" s="388">
        <f t="shared" si="96"/>
        <v>-0.1051889406412032</v>
      </c>
      <c r="P148" s="388">
        <f t="shared" si="96"/>
        <v>0.40166604604455575</v>
      </c>
      <c r="Q148" s="388">
        <f t="shared" si="96"/>
        <v>-0.24164963782767498</v>
      </c>
      <c r="R148" s="388">
        <f t="shared" si="96"/>
        <v>-0.43679549361193176</v>
      </c>
      <c r="S148" s="388">
        <f t="shared" si="96"/>
        <v>-6.2339865099069434E-2</v>
      </c>
      <c r="T148" s="388">
        <f t="shared" si="96"/>
        <v>0.2108143371145321</v>
      </c>
      <c r="U148" s="388">
        <f t="shared" si="96"/>
        <v>4.5299959901365455E-2</v>
      </c>
      <c r="V148" s="388">
        <f t="shared" si="96"/>
        <v>-0.24608302505293514</v>
      </c>
      <c r="W148" s="388">
        <f t="shared" si="96"/>
        <v>-2.6423796257892679E-2</v>
      </c>
      <c r="X148" s="388">
        <f t="shared" si="96"/>
        <v>-4.8306948668642644E-2</v>
      </c>
      <c r="Y148" s="388">
        <f t="shared" si="96"/>
        <v>-6.8399648679156724E-2</v>
      </c>
      <c r="Z148" s="388">
        <f t="shared" si="96"/>
        <v>-0.45973186071028105</v>
      </c>
      <c r="AA148" s="388">
        <f t="shared" si="96"/>
        <v>-0.64063936976525326</v>
      </c>
      <c r="AB148" s="388">
        <f t="shared" si="96"/>
        <v>-0.40400980429150074</v>
      </c>
      <c r="AC148" s="388">
        <f t="shared" si="96"/>
        <v>-0.10750953982148143</v>
      </c>
      <c r="AD148" s="388">
        <f t="shared" si="96"/>
        <v>-0.40553299000642823</v>
      </c>
      <c r="AE148" s="388">
        <f t="shared" si="96"/>
        <v>-0.41098554958224037</v>
      </c>
      <c r="AF148" s="388">
        <f t="shared" si="96"/>
        <v>-0.41617154490873098</v>
      </c>
      <c r="AG148" s="388">
        <f t="shared" si="96"/>
        <v>-0.42198935501583534</v>
      </c>
      <c r="AH148" s="389">
        <f t="shared" si="96"/>
        <v>-0.42760267394617035</v>
      </c>
    </row>
    <row r="149" spans="2:35" ht="18" customHeight="1" x14ac:dyDescent="0.25">
      <c r="B149" s="408" t="s">
        <v>141</v>
      </c>
      <c r="C149" s="409"/>
      <c r="D149" s="409"/>
      <c r="E149" s="287"/>
      <c r="F149" s="356">
        <f>AVERAGE(F148:AH148)</f>
        <v>-0.3549333758787151</v>
      </c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390"/>
    </row>
    <row r="150" spans="2:35" ht="16.149999999999999" customHeight="1" thickBot="1" x14ac:dyDescent="0.3">
      <c r="B150" s="410" t="s">
        <v>142</v>
      </c>
      <c r="C150" s="411"/>
      <c r="D150" s="412"/>
      <c r="E150" s="391" t="s">
        <v>72</v>
      </c>
      <c r="F150" s="392">
        <f>F148</f>
        <v>-0.49870808787336546</v>
      </c>
      <c r="G150" s="392">
        <f>F150+G148</f>
        <v>-0.49870808787336546</v>
      </c>
      <c r="H150" s="392">
        <f t="shared" ref="H150:AH150" si="97">G150+H148</f>
        <v>-0.75831741664721242</v>
      </c>
      <c r="I150" s="392">
        <f t="shared" si="97"/>
        <v>-1.028020930490871</v>
      </c>
      <c r="J150" s="392">
        <f t="shared" si="97"/>
        <v>-1.8766059565446094</v>
      </c>
      <c r="K150" s="392">
        <f t="shared" si="97"/>
        <v>-2.2196215590569741</v>
      </c>
      <c r="L150" s="392">
        <f t="shared" si="97"/>
        <v>-3.440923769531913</v>
      </c>
      <c r="M150" s="392">
        <f t="shared" si="97"/>
        <v>-4.6617874162145814</v>
      </c>
      <c r="N150" s="392">
        <f t="shared" si="97"/>
        <v>-6.0214881996567602</v>
      </c>
      <c r="O150" s="392">
        <f t="shared" si="97"/>
        <v>-6.1266771402979634</v>
      </c>
      <c r="P150" s="392">
        <f t="shared" si="97"/>
        <v>-5.725011094253408</v>
      </c>
      <c r="Q150" s="392">
        <f t="shared" si="97"/>
        <v>-5.9666607320810829</v>
      </c>
      <c r="R150" s="392">
        <f t="shared" si="97"/>
        <v>-6.4034562256930148</v>
      </c>
      <c r="S150" s="392">
        <f t="shared" si="97"/>
        <v>-6.4657960907920842</v>
      </c>
      <c r="T150" s="392">
        <f t="shared" si="97"/>
        <v>-6.2549817536775523</v>
      </c>
      <c r="U150" s="392">
        <f t="shared" si="97"/>
        <v>-6.2096817937761868</v>
      </c>
      <c r="V150" s="392">
        <f t="shared" si="97"/>
        <v>-6.4557648188291221</v>
      </c>
      <c r="W150" s="392">
        <f t="shared" si="97"/>
        <v>-6.4821886150870149</v>
      </c>
      <c r="X150" s="392">
        <f t="shared" si="97"/>
        <v>-6.5304955637556574</v>
      </c>
      <c r="Y150" s="392">
        <f t="shared" si="97"/>
        <v>-6.5988952124348144</v>
      </c>
      <c r="Z150" s="392">
        <f t="shared" si="97"/>
        <v>-7.0586270731450957</v>
      </c>
      <c r="AA150" s="392">
        <f t="shared" si="97"/>
        <v>-7.699266442910349</v>
      </c>
      <c r="AB150" s="392">
        <f t="shared" si="97"/>
        <v>-8.1032762472018494</v>
      </c>
      <c r="AC150" s="392">
        <f t="shared" si="97"/>
        <v>-8.2107857870233314</v>
      </c>
      <c r="AD150" s="392">
        <f t="shared" si="97"/>
        <v>-8.6163187770297593</v>
      </c>
      <c r="AE150" s="392">
        <f t="shared" si="97"/>
        <v>-9.0273043266120006</v>
      </c>
      <c r="AF150" s="392">
        <f t="shared" si="97"/>
        <v>-9.4434758715207323</v>
      </c>
      <c r="AG150" s="392">
        <f t="shared" si="97"/>
        <v>-9.8654652265365677</v>
      </c>
      <c r="AH150" s="393">
        <f t="shared" si="97"/>
        <v>-10.293067900482738</v>
      </c>
    </row>
    <row r="151" spans="2:35" ht="24" customHeight="1" thickTop="1" x14ac:dyDescent="0.25"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</row>
    <row r="152" spans="2:35" ht="18.600000000000001" customHeight="1" x14ac:dyDescent="0.25">
      <c r="B152" s="67"/>
      <c r="C152" s="68"/>
      <c r="D152" s="68"/>
      <c r="E152" s="282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</row>
    <row r="153" spans="2:35" ht="34.15" customHeight="1" x14ac:dyDescent="0.25">
      <c r="B153" s="407" t="s">
        <v>140</v>
      </c>
      <c r="C153" s="407"/>
      <c r="D153" s="407"/>
      <c r="E153" s="282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</row>
    <row r="154" spans="2:35" ht="31.15" customHeight="1" x14ac:dyDescent="0.25">
      <c r="B154" s="400" t="s">
        <v>131</v>
      </c>
      <c r="C154" s="400"/>
      <c r="D154" s="400"/>
      <c r="E154" s="285" t="s">
        <v>72</v>
      </c>
      <c r="F154" s="263">
        <f t="shared" ref="F154:AH154" si="98">-SUM(F98:F126)-F98-F107</f>
        <v>-4.4489714605718232E-3</v>
      </c>
      <c r="G154" s="263">
        <f t="shared" si="98"/>
        <v>-3.8615177118625282E-3</v>
      </c>
      <c r="H154" s="263">
        <f t="shared" si="98"/>
        <v>-3.925584452125765E-3</v>
      </c>
      <c r="I154" s="263">
        <f t="shared" si="98"/>
        <v>-4.0740642703483614E-3</v>
      </c>
      <c r="J154" s="263">
        <f t="shared" si="98"/>
        <v>-4.1586514370487472E-3</v>
      </c>
      <c r="K154" s="263">
        <f t="shared" si="98"/>
        <v>-4.2505074065593918E-3</v>
      </c>
      <c r="L154" s="263">
        <f t="shared" si="98"/>
        <v>-4.3540752847229247E-3</v>
      </c>
      <c r="M154" s="263">
        <f t="shared" si="98"/>
        <v>-4.4665863460579842E-3</v>
      </c>
      <c r="N154" s="263">
        <f t="shared" si="98"/>
        <v>-4.6921011660609946E-3</v>
      </c>
      <c r="O154" s="263">
        <f t="shared" si="98"/>
        <v>-2.4733354073235105E-3</v>
      </c>
      <c r="P154" s="263">
        <f t="shared" si="98"/>
        <v>-2.4390515501922926E-3</v>
      </c>
      <c r="Q154" s="263">
        <f t="shared" si="98"/>
        <v>-2.4052429148430973E-3</v>
      </c>
      <c r="R154" s="263">
        <f t="shared" si="98"/>
        <v>-2.3719029140432928E-3</v>
      </c>
      <c r="S154" s="263">
        <f t="shared" si="98"/>
        <v>-2.2181038968368148E-3</v>
      </c>
      <c r="T154" s="263">
        <f t="shared" si="98"/>
        <v>-1.8761072031556231E-3</v>
      </c>
      <c r="U154" s="263">
        <f t="shared" si="98"/>
        <v>-2.3799113073146513E-3</v>
      </c>
      <c r="V154" s="263">
        <f t="shared" si="98"/>
        <v>-2.3469224377083136E-3</v>
      </c>
      <c r="W154" s="263">
        <f t="shared" si="98"/>
        <v>-2.3143908395618601E-3</v>
      </c>
      <c r="X154" s="263">
        <f t="shared" si="98"/>
        <v>-2.3805184114126612E-3</v>
      </c>
      <c r="Y154" s="263">
        <f t="shared" si="98"/>
        <v>-2.347521126501989E-3</v>
      </c>
      <c r="Z154" s="263">
        <f t="shared" si="98"/>
        <v>-2.3149812296990031E-3</v>
      </c>
      <c r="AA154" s="263">
        <f t="shared" si="98"/>
        <v>-2.2828923809704799E-3</v>
      </c>
      <c r="AB154" s="263">
        <f t="shared" si="98"/>
        <v>-2.2512483281649622E-3</v>
      </c>
      <c r="AC154" s="263">
        <f t="shared" si="98"/>
        <v>-2.326292088103235E-3</v>
      </c>
      <c r="AD154" s="263">
        <f t="shared" si="98"/>
        <v>-2.2940464551988332E-3</v>
      </c>
      <c r="AE154" s="263">
        <f t="shared" si="98"/>
        <v>-2.2622477914633985E-3</v>
      </c>
      <c r="AF154" s="263">
        <f t="shared" si="98"/>
        <v>-2.2308899012846986E-3</v>
      </c>
      <c r="AG154" s="263">
        <f t="shared" si="98"/>
        <v>-2.1999666749302521E-3</v>
      </c>
      <c r="AH154" s="263">
        <f t="shared" si="98"/>
        <v>-2.248543694881928E-3</v>
      </c>
    </row>
    <row r="155" spans="2:35" ht="32.450000000000003" customHeight="1" x14ac:dyDescent="0.25">
      <c r="B155" s="400" t="s">
        <v>132</v>
      </c>
      <c r="C155" s="400"/>
      <c r="D155" s="400"/>
      <c r="E155" s="285" t="s">
        <v>72</v>
      </c>
      <c r="F155" s="286">
        <f>F154*850</f>
        <v>-3.7816257414860499</v>
      </c>
      <c r="G155" s="286">
        <f t="shared" ref="G155:AH155" si="99">G154*850</f>
        <v>-3.2822900550831489</v>
      </c>
      <c r="H155" s="286">
        <f t="shared" si="99"/>
        <v>-3.3367467843069001</v>
      </c>
      <c r="I155" s="286">
        <f t="shared" si="99"/>
        <v>-3.4629546297961071</v>
      </c>
      <c r="J155" s="286">
        <f t="shared" si="99"/>
        <v>-3.5348537214914351</v>
      </c>
      <c r="K155" s="286">
        <f t="shared" si="99"/>
        <v>-3.6129312955754829</v>
      </c>
      <c r="L155" s="286">
        <f t="shared" si="99"/>
        <v>-3.7009639920144859</v>
      </c>
      <c r="M155" s="286">
        <f t="shared" si="99"/>
        <v>-3.7965983941492865</v>
      </c>
      <c r="N155" s="286">
        <f t="shared" si="99"/>
        <v>-3.9882859911518453</v>
      </c>
      <c r="O155" s="286">
        <f t="shared" si="99"/>
        <v>-2.102335096224984</v>
      </c>
      <c r="P155" s="286">
        <f t="shared" si="99"/>
        <v>-2.0731938176634488</v>
      </c>
      <c r="Q155" s="286">
        <f t="shared" si="99"/>
        <v>-2.0444564776166327</v>
      </c>
      <c r="R155" s="286">
        <f t="shared" si="99"/>
        <v>-2.0161174769367989</v>
      </c>
      <c r="S155" s="286">
        <f t="shared" si="99"/>
        <v>-1.8853883123112927</v>
      </c>
      <c r="T155" s="286">
        <f t="shared" si="99"/>
        <v>-1.5946911226822795</v>
      </c>
      <c r="U155" s="286">
        <f t="shared" si="99"/>
        <v>-2.0229246112174537</v>
      </c>
      <c r="V155" s="286">
        <f t="shared" si="99"/>
        <v>-1.9948840720520666</v>
      </c>
      <c r="W155" s="286">
        <f t="shared" si="99"/>
        <v>-1.9672322136275811</v>
      </c>
      <c r="X155" s="286">
        <f t="shared" si="99"/>
        <v>-2.023440649700762</v>
      </c>
      <c r="Y155" s="286">
        <f t="shared" si="99"/>
        <v>-1.9953929575266907</v>
      </c>
      <c r="Z155" s="286">
        <f t="shared" si="99"/>
        <v>-1.9677340452441527</v>
      </c>
      <c r="AA155" s="286">
        <f t="shared" si="99"/>
        <v>-1.9404585238249079</v>
      </c>
      <c r="AB155" s="286">
        <f t="shared" si="99"/>
        <v>-1.9135610789402178</v>
      </c>
      <c r="AC155" s="286">
        <f t="shared" si="99"/>
        <v>-1.9773482748877498</v>
      </c>
      <c r="AD155" s="286">
        <f t="shared" si="99"/>
        <v>-1.9499394869190081</v>
      </c>
      <c r="AE155" s="286">
        <f t="shared" si="99"/>
        <v>-1.9229106227438888</v>
      </c>
      <c r="AF155" s="286">
        <f t="shared" si="99"/>
        <v>-1.8962564160919937</v>
      </c>
      <c r="AG155" s="286">
        <f t="shared" si="99"/>
        <v>-1.8699716736907144</v>
      </c>
      <c r="AH155" s="286">
        <f t="shared" si="99"/>
        <v>-1.9112621406496388</v>
      </c>
    </row>
    <row r="156" spans="2:35" ht="19.899999999999999" customHeight="1" thickBot="1" x14ac:dyDescent="0.3">
      <c r="B156" s="67"/>
      <c r="C156" s="68"/>
      <c r="D156" s="68"/>
      <c r="E156" s="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</row>
    <row r="157" spans="2:35" ht="19.899999999999999" customHeight="1" thickTop="1" x14ac:dyDescent="0.3">
      <c r="B157" s="413" t="s">
        <v>143</v>
      </c>
      <c r="C157" s="414"/>
      <c r="D157" s="414"/>
      <c r="E157" s="394"/>
      <c r="F157" s="394">
        <f t="shared" ref="F157:AH157" si="100">F148+F155</f>
        <v>-4.2803338293594155</v>
      </c>
      <c r="G157" s="394">
        <f t="shared" si="100"/>
        <v>-3.2822900550831489</v>
      </c>
      <c r="H157" s="394">
        <f t="shared" si="100"/>
        <v>-3.5963561130807471</v>
      </c>
      <c r="I157" s="394">
        <f t="shared" si="100"/>
        <v>-3.7326581436397657</v>
      </c>
      <c r="J157" s="394">
        <f t="shared" si="100"/>
        <v>-4.3834387475451733</v>
      </c>
      <c r="K157" s="394">
        <f t="shared" si="100"/>
        <v>-3.9559468980878476</v>
      </c>
      <c r="L157" s="394">
        <f t="shared" si="100"/>
        <v>-4.9222662024894248</v>
      </c>
      <c r="M157" s="394">
        <f t="shared" si="100"/>
        <v>-5.0174620408319548</v>
      </c>
      <c r="N157" s="394">
        <f t="shared" si="100"/>
        <v>-5.3479867745940242</v>
      </c>
      <c r="O157" s="394">
        <f t="shared" si="100"/>
        <v>-2.2075240368661873</v>
      </c>
      <c r="P157" s="394">
        <f t="shared" si="100"/>
        <v>-1.671527771618893</v>
      </c>
      <c r="Q157" s="394">
        <f t="shared" si="100"/>
        <v>-2.2861061154443076</v>
      </c>
      <c r="R157" s="394">
        <f t="shared" si="100"/>
        <v>-2.4529129705487307</v>
      </c>
      <c r="S157" s="394">
        <f t="shared" si="100"/>
        <v>-1.9477281774103621</v>
      </c>
      <c r="T157" s="394">
        <f t="shared" si="100"/>
        <v>-1.3838767855677474</v>
      </c>
      <c r="U157" s="394">
        <f t="shared" si="100"/>
        <v>-1.9776246513160882</v>
      </c>
      <c r="V157" s="394">
        <f t="shared" si="100"/>
        <v>-2.2409670971050017</v>
      </c>
      <c r="W157" s="394">
        <f t="shared" si="100"/>
        <v>-1.9936560098854736</v>
      </c>
      <c r="X157" s="394">
        <f t="shared" si="100"/>
        <v>-2.0717475983694045</v>
      </c>
      <c r="Y157" s="394">
        <f t="shared" si="100"/>
        <v>-2.0637926062058476</v>
      </c>
      <c r="Z157" s="394">
        <f t="shared" si="100"/>
        <v>-2.4274659059544339</v>
      </c>
      <c r="AA157" s="394">
        <f t="shared" si="100"/>
        <v>-2.5810978935901612</v>
      </c>
      <c r="AB157" s="394">
        <f t="shared" si="100"/>
        <v>-2.3175708832317183</v>
      </c>
      <c r="AC157" s="394">
        <f t="shared" si="100"/>
        <v>-2.0848578147092311</v>
      </c>
      <c r="AD157" s="394">
        <f t="shared" si="100"/>
        <v>-2.3554724769254363</v>
      </c>
      <c r="AE157" s="394">
        <f t="shared" si="100"/>
        <v>-2.3338961723261291</v>
      </c>
      <c r="AF157" s="394">
        <f t="shared" si="100"/>
        <v>-2.3124279610007248</v>
      </c>
      <c r="AG157" s="394">
        <f t="shared" si="100"/>
        <v>-2.2919610287065497</v>
      </c>
      <c r="AH157" s="395">
        <f t="shared" si="100"/>
        <v>-2.3388648145958091</v>
      </c>
    </row>
    <row r="158" spans="2:35" ht="19.899999999999999" customHeight="1" x14ac:dyDescent="0.25">
      <c r="B158" s="408" t="s">
        <v>141</v>
      </c>
      <c r="C158" s="409"/>
      <c r="D158" s="409"/>
      <c r="E158" s="287"/>
      <c r="F158" s="356">
        <f>AVERAGE(F157:AH157)</f>
        <v>-2.8227523302099922</v>
      </c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390"/>
    </row>
    <row r="159" spans="2:35" ht="16.5" thickBot="1" x14ac:dyDescent="0.3">
      <c r="B159" s="410" t="s">
        <v>142</v>
      </c>
      <c r="C159" s="411"/>
      <c r="D159" s="412"/>
      <c r="E159" s="391" t="s">
        <v>72</v>
      </c>
      <c r="F159" s="392">
        <f>F157</f>
        <v>-4.2803338293594155</v>
      </c>
      <c r="G159" s="392">
        <f>F159+G157</f>
        <v>-7.5626238844425639</v>
      </c>
      <c r="H159" s="392">
        <f t="shared" ref="H159:AH159" si="101">G159+H157</f>
        <v>-11.158979997523311</v>
      </c>
      <c r="I159" s="392">
        <f t="shared" si="101"/>
        <v>-14.891638141163076</v>
      </c>
      <c r="J159" s="392">
        <f t="shared" si="101"/>
        <v>-19.275076888708249</v>
      </c>
      <c r="K159" s="392">
        <f t="shared" si="101"/>
        <v>-23.231023786796097</v>
      </c>
      <c r="L159" s="392">
        <f t="shared" si="101"/>
        <v>-28.153289989285522</v>
      </c>
      <c r="M159" s="392">
        <f t="shared" si="101"/>
        <v>-33.170752030117477</v>
      </c>
      <c r="N159" s="392">
        <f t="shared" si="101"/>
        <v>-38.518738804711504</v>
      </c>
      <c r="O159" s="392">
        <f t="shared" si="101"/>
        <v>-40.726262841577693</v>
      </c>
      <c r="P159" s="392">
        <f t="shared" si="101"/>
        <v>-42.397790613196584</v>
      </c>
      <c r="Q159" s="392">
        <f t="shared" si="101"/>
        <v>-44.683896728640889</v>
      </c>
      <c r="R159" s="392">
        <f t="shared" si="101"/>
        <v>-47.136809699189619</v>
      </c>
      <c r="S159" s="392">
        <f t="shared" si="101"/>
        <v>-49.084537876599981</v>
      </c>
      <c r="T159" s="392">
        <f t="shared" si="101"/>
        <v>-50.468414662167731</v>
      </c>
      <c r="U159" s="392">
        <f t="shared" si="101"/>
        <v>-52.446039313483823</v>
      </c>
      <c r="V159" s="392">
        <f t="shared" si="101"/>
        <v>-54.687006410588822</v>
      </c>
      <c r="W159" s="392">
        <f t="shared" si="101"/>
        <v>-56.680662420474299</v>
      </c>
      <c r="X159" s="392">
        <f t="shared" si="101"/>
        <v>-58.752410018843705</v>
      </c>
      <c r="Y159" s="392">
        <f t="shared" si="101"/>
        <v>-60.816202625049556</v>
      </c>
      <c r="Z159" s="392">
        <f t="shared" si="101"/>
        <v>-63.243668531003991</v>
      </c>
      <c r="AA159" s="392">
        <f t="shared" si="101"/>
        <v>-65.824766424594145</v>
      </c>
      <c r="AB159" s="392">
        <f t="shared" si="101"/>
        <v>-68.142337307825869</v>
      </c>
      <c r="AC159" s="392">
        <f t="shared" si="101"/>
        <v>-70.227195122535107</v>
      </c>
      <c r="AD159" s="392">
        <f t="shared" si="101"/>
        <v>-72.582667599460549</v>
      </c>
      <c r="AE159" s="392">
        <f t="shared" si="101"/>
        <v>-74.916563771786684</v>
      </c>
      <c r="AF159" s="392">
        <f t="shared" si="101"/>
        <v>-77.228991732787406</v>
      </c>
      <c r="AG159" s="392">
        <f t="shared" si="101"/>
        <v>-79.520952761493959</v>
      </c>
      <c r="AH159" s="393">
        <f t="shared" si="101"/>
        <v>-81.859817576089767</v>
      </c>
    </row>
    <row r="160" spans="2:35" ht="16.5" thickTop="1" x14ac:dyDescent="0.25">
      <c r="B160" s="368"/>
      <c r="C160" s="368"/>
      <c r="D160" s="368"/>
      <c r="E160" s="369"/>
      <c r="F160" s="356"/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</row>
    <row r="161" spans="2:34" ht="15.75" x14ac:dyDescent="0.25">
      <c r="B161" s="32" t="s">
        <v>51</v>
      </c>
      <c r="C161" s="68"/>
      <c r="D161" s="68"/>
      <c r="E161" s="68"/>
      <c r="F161" s="68"/>
      <c r="G161" s="68"/>
      <c r="H161" s="68"/>
      <c r="I161" s="83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2:34" x14ac:dyDescent="0.25">
      <c r="B162" s="31" t="s">
        <v>153</v>
      </c>
    </row>
    <row r="163" spans="2:34" x14ac:dyDescent="0.25">
      <c r="B163" s="31" t="s">
        <v>148</v>
      </c>
    </row>
    <row r="164" spans="2:34" x14ac:dyDescent="0.25">
      <c r="B164" s="31" t="s">
        <v>149</v>
      </c>
      <c r="C164" s="49"/>
    </row>
    <row r="165" spans="2:34" x14ac:dyDescent="0.25">
      <c r="B165" s="31" t="s">
        <v>156</v>
      </c>
      <c r="C165" s="49"/>
    </row>
    <row r="166" spans="2:34" x14ac:dyDescent="0.25">
      <c r="B166" s="370" t="s">
        <v>152</v>
      </c>
      <c r="C166" s="49"/>
    </row>
    <row r="167" spans="2:34" x14ac:dyDescent="0.25">
      <c r="B167" s="31" t="s">
        <v>158</v>
      </c>
      <c r="C167" s="49"/>
    </row>
    <row r="168" spans="2:34" x14ac:dyDescent="0.25">
      <c r="B168" s="26"/>
    </row>
    <row r="169" spans="2:34" x14ac:dyDescent="0.25">
      <c r="B169" s="26"/>
    </row>
    <row r="170" spans="2:34" x14ac:dyDescent="0.25">
      <c r="B170" s="26"/>
    </row>
    <row r="171" spans="2:34" x14ac:dyDescent="0.25">
      <c r="B171" s="26"/>
    </row>
  </sheetData>
  <mergeCells count="20">
    <mergeCell ref="E91:F91"/>
    <mergeCell ref="B92:C92"/>
    <mergeCell ref="B148:D148"/>
    <mergeCell ref="B88:C88"/>
    <mergeCell ref="B89:C89"/>
    <mergeCell ref="B90:C90"/>
    <mergeCell ref="B91:C91"/>
    <mergeCell ref="B141:D141"/>
    <mergeCell ref="B142:D142"/>
    <mergeCell ref="B143:D143"/>
    <mergeCell ref="B146:D146"/>
    <mergeCell ref="B147:D147"/>
    <mergeCell ref="B158:D158"/>
    <mergeCell ref="B159:D159"/>
    <mergeCell ref="B149:D149"/>
    <mergeCell ref="B150:D150"/>
    <mergeCell ref="B153:D153"/>
    <mergeCell ref="B154:D154"/>
    <mergeCell ref="B155:D155"/>
    <mergeCell ref="B157:D157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12"/>
  <sheetViews>
    <sheetView topLeftCell="A76" zoomScale="80" zoomScaleNormal="80" workbookViewId="0">
      <selection activeCell="C115" sqref="C115"/>
    </sheetView>
  </sheetViews>
  <sheetFormatPr defaultRowHeight="15" x14ac:dyDescent="0.25"/>
  <cols>
    <col min="1" max="1" width="18.140625" customWidth="1"/>
    <col min="2" max="2" width="21.140625" customWidth="1"/>
    <col min="3" max="4" width="16.7109375" customWidth="1"/>
    <col min="5" max="5" width="23.85546875" bestFit="1" customWidth="1"/>
    <col min="6" max="6" width="12.140625" customWidth="1"/>
    <col min="7" max="15" width="11.7109375" customWidth="1"/>
    <col min="16" max="25" width="12.7109375" customWidth="1"/>
    <col min="26" max="32" width="12.7109375" style="5" customWidth="1"/>
    <col min="33" max="36" width="12.7109375" customWidth="1"/>
  </cols>
  <sheetData>
    <row r="1" spans="1:36" ht="21" x14ac:dyDescent="0.35">
      <c r="B1" s="36" t="s">
        <v>119</v>
      </c>
      <c r="C1" s="2"/>
      <c r="D1" s="2"/>
    </row>
    <row r="2" spans="1:36" ht="18.75" x14ac:dyDescent="0.3">
      <c r="C2" s="2"/>
      <c r="D2" s="2"/>
      <c r="F2" s="1"/>
    </row>
    <row r="3" spans="1:36" x14ac:dyDescent="0.25">
      <c r="F3" s="1"/>
    </row>
    <row r="4" spans="1:36" ht="18.75" x14ac:dyDescent="0.3">
      <c r="A4" s="2"/>
      <c r="B4" s="2"/>
      <c r="C4" s="2"/>
      <c r="D4" s="2"/>
      <c r="F4" s="1"/>
    </row>
    <row r="5" spans="1:36" ht="17.45" customHeight="1" x14ac:dyDescent="0.3">
      <c r="A5" s="2"/>
      <c r="F5" s="1"/>
    </row>
    <row r="7" spans="1:36" ht="18.75" x14ac:dyDescent="0.3">
      <c r="A7" s="89" t="s">
        <v>123</v>
      </c>
      <c r="C7" s="28">
        <v>1200</v>
      </c>
      <c r="D7" s="1" t="s">
        <v>124</v>
      </c>
    </row>
    <row r="8" spans="1:36" ht="15.75" x14ac:dyDescent="0.25">
      <c r="A8" s="3" t="s">
        <v>118</v>
      </c>
      <c r="C8" s="29">
        <v>4.0000000000000001E-3</v>
      </c>
    </row>
    <row r="9" spans="1:36" ht="10.15" customHeight="1" x14ac:dyDescent="0.25">
      <c r="A9" s="3"/>
      <c r="E9" s="7"/>
    </row>
    <row r="10" spans="1:36" x14ac:dyDescent="0.25">
      <c r="E10" s="17"/>
      <c r="G10" s="20"/>
    </row>
    <row r="11" spans="1:36" ht="19.5" thickBot="1" x14ac:dyDescent="0.35">
      <c r="A11" s="125" t="s">
        <v>79</v>
      </c>
      <c r="B11" s="126"/>
      <c r="F11" t="s">
        <v>4</v>
      </c>
    </row>
    <row r="12" spans="1:36" ht="16.5" thickBot="1" x14ac:dyDescent="0.3">
      <c r="A12" s="218" t="s">
        <v>0</v>
      </c>
      <c r="B12" s="220" t="s">
        <v>1</v>
      </c>
      <c r="C12" s="220"/>
      <c r="D12" s="220"/>
      <c r="E12" s="236"/>
      <c r="F12" s="222">
        <f t="shared" ref="F12:AJ12" si="0">F26</f>
        <v>2020</v>
      </c>
      <c r="G12" s="222">
        <f t="shared" si="0"/>
        <v>2021</v>
      </c>
      <c r="H12" s="222">
        <f t="shared" si="0"/>
        <v>2022</v>
      </c>
      <c r="I12" s="222">
        <f t="shared" si="0"/>
        <v>2023</v>
      </c>
      <c r="J12" s="222">
        <f t="shared" si="0"/>
        <v>2024</v>
      </c>
      <c r="K12" s="222">
        <f t="shared" si="0"/>
        <v>2025</v>
      </c>
      <c r="L12" s="222">
        <f t="shared" si="0"/>
        <v>2026</v>
      </c>
      <c r="M12" s="222">
        <f t="shared" si="0"/>
        <v>2027</v>
      </c>
      <c r="N12" s="222">
        <f t="shared" si="0"/>
        <v>2028</v>
      </c>
      <c r="O12" s="222">
        <f t="shared" si="0"/>
        <v>2029</v>
      </c>
      <c r="P12" s="222">
        <f t="shared" si="0"/>
        <v>2030</v>
      </c>
      <c r="Q12" s="222">
        <f t="shared" si="0"/>
        <v>2031</v>
      </c>
      <c r="R12" s="222">
        <f t="shared" si="0"/>
        <v>2032</v>
      </c>
      <c r="S12" s="222">
        <f t="shared" si="0"/>
        <v>2033</v>
      </c>
      <c r="T12" s="222">
        <f t="shared" si="0"/>
        <v>2034</v>
      </c>
      <c r="U12" s="222">
        <f t="shared" si="0"/>
        <v>2035</v>
      </c>
      <c r="V12" s="222">
        <f t="shared" si="0"/>
        <v>2036</v>
      </c>
      <c r="W12" s="222">
        <f t="shared" si="0"/>
        <v>2037</v>
      </c>
      <c r="X12" s="222">
        <f t="shared" si="0"/>
        <v>2038</v>
      </c>
      <c r="Y12" s="222">
        <f t="shared" si="0"/>
        <v>2039</v>
      </c>
      <c r="Z12" s="222">
        <f t="shared" si="0"/>
        <v>2040</v>
      </c>
      <c r="AA12" s="222">
        <f t="shared" si="0"/>
        <v>2041</v>
      </c>
      <c r="AB12" s="222">
        <f t="shared" si="0"/>
        <v>2042</v>
      </c>
      <c r="AC12" s="222">
        <f t="shared" si="0"/>
        <v>2043</v>
      </c>
      <c r="AD12" s="222">
        <f t="shared" si="0"/>
        <v>2044</v>
      </c>
      <c r="AE12" s="222">
        <f t="shared" si="0"/>
        <v>2045</v>
      </c>
      <c r="AF12" s="222">
        <f t="shared" si="0"/>
        <v>2046</v>
      </c>
      <c r="AG12" s="222">
        <f t="shared" si="0"/>
        <v>2047</v>
      </c>
      <c r="AH12" s="222">
        <f t="shared" si="0"/>
        <v>2048</v>
      </c>
      <c r="AI12" s="222">
        <f t="shared" si="0"/>
        <v>2049</v>
      </c>
      <c r="AJ12" s="223">
        <f t="shared" si="0"/>
        <v>2050</v>
      </c>
    </row>
    <row r="13" spans="1:36" ht="15.75" x14ac:dyDescent="0.25">
      <c r="A13" s="231"/>
      <c r="B13" s="232"/>
      <c r="C13" s="232"/>
      <c r="D13" s="232"/>
      <c r="E13" s="233" t="s">
        <v>54</v>
      </c>
      <c r="F13" s="234">
        <v>124</v>
      </c>
      <c r="G13" s="234">
        <f>$F$13</f>
        <v>124</v>
      </c>
      <c r="H13" s="234">
        <f t="shared" ref="H13:V13" si="1">$F$13</f>
        <v>124</v>
      </c>
      <c r="I13" s="234">
        <f t="shared" si="1"/>
        <v>124</v>
      </c>
      <c r="J13" s="234">
        <f t="shared" si="1"/>
        <v>124</v>
      </c>
      <c r="K13" s="234">
        <f t="shared" si="1"/>
        <v>124</v>
      </c>
      <c r="L13" s="234">
        <f t="shared" si="1"/>
        <v>124</v>
      </c>
      <c r="M13" s="234">
        <f t="shared" si="1"/>
        <v>124</v>
      </c>
      <c r="N13" s="234">
        <f t="shared" si="1"/>
        <v>124</v>
      </c>
      <c r="O13" s="234">
        <f t="shared" si="1"/>
        <v>124</v>
      </c>
      <c r="P13" s="234">
        <f t="shared" si="1"/>
        <v>124</v>
      </c>
      <c r="Q13" s="234">
        <f t="shared" si="1"/>
        <v>124</v>
      </c>
      <c r="R13" s="234">
        <f t="shared" si="1"/>
        <v>124</v>
      </c>
      <c r="S13" s="234">
        <f t="shared" si="1"/>
        <v>124</v>
      </c>
      <c r="T13" s="234">
        <f t="shared" si="1"/>
        <v>124</v>
      </c>
      <c r="U13" s="234">
        <f t="shared" si="1"/>
        <v>124</v>
      </c>
      <c r="V13" s="234">
        <f t="shared" si="1"/>
        <v>124</v>
      </c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5"/>
    </row>
    <row r="14" spans="1:36" ht="15.75" x14ac:dyDescent="0.25">
      <c r="A14" s="199">
        <f>A27</f>
        <v>2020</v>
      </c>
      <c r="B14" s="21">
        <v>125</v>
      </c>
      <c r="C14" s="21"/>
      <c r="D14" s="228">
        <f>B14*$C$7/'Costs &amp; Rate Impacts - All'!$D37/1000000*0.8</f>
        <v>1.6282225237449117E-3</v>
      </c>
      <c r="E14" s="229"/>
      <c r="F14" s="230">
        <f>$B14*$C$7*0.8*F$13/1000000</f>
        <v>14.88</v>
      </c>
      <c r="G14" s="22">
        <f t="shared" ref="G14:T14" si="2">$B14*$C$7*0.8*G$13/1000000*0.996^(G12-$F$12)</f>
        <v>14.82048</v>
      </c>
      <c r="H14" s="22">
        <f t="shared" si="2"/>
        <v>14.761198080000002</v>
      </c>
      <c r="I14" s="22">
        <f t="shared" si="2"/>
        <v>14.70215328768</v>
      </c>
      <c r="J14" s="22">
        <f t="shared" si="2"/>
        <v>14.643344674529281</v>
      </c>
      <c r="K14" s="22">
        <f t="shared" si="2"/>
        <v>14.584771295831164</v>
      </c>
      <c r="L14" s="22">
        <f t="shared" si="2"/>
        <v>14.526432210647839</v>
      </c>
      <c r="M14" s="22">
        <f t="shared" si="2"/>
        <v>14.468326481805247</v>
      </c>
      <c r="N14" s="22">
        <f t="shared" si="2"/>
        <v>14.410453175878027</v>
      </c>
      <c r="O14" s="22">
        <f t="shared" si="2"/>
        <v>14.352811363174515</v>
      </c>
      <c r="P14" s="22">
        <f t="shared" si="2"/>
        <v>14.295400117721817</v>
      </c>
      <c r="Q14" s="22">
        <f t="shared" si="2"/>
        <v>14.238218517250928</v>
      </c>
      <c r="R14" s="22">
        <f t="shared" si="2"/>
        <v>14.181265643181925</v>
      </c>
      <c r="S14" s="22">
        <f t="shared" si="2"/>
        <v>14.124540580609198</v>
      </c>
      <c r="T14" s="22">
        <f t="shared" si="2"/>
        <v>14.068042418286762</v>
      </c>
      <c r="U14" s="22"/>
      <c r="V14" s="22"/>
      <c r="W14" s="22"/>
      <c r="X14" s="22"/>
      <c r="Y14" s="22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00"/>
    </row>
    <row r="15" spans="1:36" x14ac:dyDescent="0.25">
      <c r="A15" s="199">
        <f>A28</f>
        <v>2021</v>
      </c>
      <c r="B15" s="21">
        <f>100+200</f>
        <v>300</v>
      </c>
      <c r="C15" s="21"/>
      <c r="D15" s="228">
        <f>B15*$C$7/'Costs &amp; Rate Impacts - All'!$E37/1000000*0.8</f>
        <v>3.869043620779989E-3</v>
      </c>
      <c r="E15" s="128"/>
      <c r="F15" s="21"/>
      <c r="G15" s="230">
        <f>$B15*$C$7*0.8*G$13/1000000</f>
        <v>35.712000000000003</v>
      </c>
      <c r="H15" s="22">
        <f t="shared" ref="H15:U15" si="3">$B15*$C$7*0.8*H$13/1000000*0.996^(H12-$F$12)</f>
        <v>35.426875392000007</v>
      </c>
      <c r="I15" s="22">
        <f t="shared" si="3"/>
        <v>35.285167890432</v>
      </c>
      <c r="J15" s="22">
        <f t="shared" si="3"/>
        <v>35.144027218870278</v>
      </c>
      <c r="K15" s="22">
        <f t="shared" si="3"/>
        <v>35.003451109994792</v>
      </c>
      <c r="L15" s="22">
        <f t="shared" si="3"/>
        <v>34.863437305554818</v>
      </c>
      <c r="M15" s="22">
        <f t="shared" si="3"/>
        <v>34.723983556332598</v>
      </c>
      <c r="N15" s="22">
        <f t="shared" si="3"/>
        <v>34.585087622107267</v>
      </c>
      <c r="O15" s="22">
        <f t="shared" si="3"/>
        <v>34.44674727161884</v>
      </c>
      <c r="P15" s="22">
        <f t="shared" si="3"/>
        <v>34.308960282532361</v>
      </c>
      <c r="Q15" s="22">
        <f t="shared" si="3"/>
        <v>34.171724441402226</v>
      </c>
      <c r="R15" s="22">
        <f t="shared" si="3"/>
        <v>34.035037543636619</v>
      </c>
      <c r="S15" s="22">
        <f t="shared" si="3"/>
        <v>33.898897393462079</v>
      </c>
      <c r="T15" s="22">
        <f t="shared" si="3"/>
        <v>33.763301803888226</v>
      </c>
      <c r="U15" s="22">
        <f t="shared" si="3"/>
        <v>33.628248596672677</v>
      </c>
      <c r="V15" s="22"/>
      <c r="W15" s="22"/>
      <c r="X15" s="22"/>
      <c r="Y15" s="22"/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00"/>
    </row>
    <row r="16" spans="1:36" x14ac:dyDescent="0.25">
      <c r="A16" s="199">
        <f>A29</f>
        <v>2022</v>
      </c>
      <c r="B16" s="21">
        <v>200</v>
      </c>
      <c r="C16" s="21"/>
      <c r="D16" s="228">
        <f>B16*$C$7/'Costs &amp; Rate Impacts - All'!$F37/1000000*0.8</f>
        <v>2.5538241721320058E-3</v>
      </c>
      <c r="E16" s="128"/>
      <c r="F16" s="21"/>
      <c r="G16" s="230"/>
      <c r="H16" s="22">
        <f>$B16*$C$7*0.8*H$13/1000000</f>
        <v>23.808</v>
      </c>
      <c r="I16" s="22">
        <f t="shared" ref="I16:V16" si="4">$B16*$C$7*0.8*I$13/1000000*0.996^(I12-$H$12)</f>
        <v>23.712768000000001</v>
      </c>
      <c r="J16" s="22">
        <f t="shared" si="4"/>
        <v>23.617916928</v>
      </c>
      <c r="K16" s="22">
        <f t="shared" si="4"/>
        <v>23.523445260288</v>
      </c>
      <c r="L16" s="22">
        <f t="shared" si="4"/>
        <v>23.429351479246847</v>
      </c>
      <c r="M16" s="22">
        <f t="shared" si="4"/>
        <v>23.33563407332986</v>
      </c>
      <c r="N16" s="22">
        <f t="shared" si="4"/>
        <v>23.242291537036543</v>
      </c>
      <c r="O16" s="22">
        <f t="shared" si="4"/>
        <v>23.149322370888395</v>
      </c>
      <c r="P16" s="22">
        <f t="shared" si="4"/>
        <v>23.056725081404842</v>
      </c>
      <c r="Q16" s="22">
        <f t="shared" si="4"/>
        <v>22.964498181079222</v>
      </c>
      <c r="R16" s="22">
        <f t="shared" si="4"/>
        <v>22.872640188354907</v>
      </c>
      <c r="S16" s="22">
        <f t="shared" si="4"/>
        <v>22.781149627601483</v>
      </c>
      <c r="T16" s="22">
        <f t="shared" si="4"/>
        <v>22.690025029091078</v>
      </c>
      <c r="U16" s="22">
        <f t="shared" si="4"/>
        <v>22.599264928974716</v>
      </c>
      <c r="V16" s="22">
        <f t="shared" si="4"/>
        <v>22.508867869258818</v>
      </c>
      <c r="W16" s="22"/>
      <c r="X16" s="22"/>
      <c r="Y16" s="22"/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00"/>
    </row>
    <row r="17" spans="1:50" ht="15.75" thickBot="1" x14ac:dyDescent="0.3">
      <c r="A17" s="202" t="s">
        <v>2</v>
      </c>
      <c r="B17" s="203">
        <f>SUM(B14:B16)</f>
        <v>625</v>
      </c>
      <c r="C17" s="203"/>
      <c r="D17" s="203"/>
      <c r="E17" s="203"/>
      <c r="F17" s="237">
        <f>F14+F15+F16</f>
        <v>14.88</v>
      </c>
      <c r="G17" s="237">
        <f t="shared" ref="G17:V17" si="5">G14+G15+G16</f>
        <v>50.532480000000007</v>
      </c>
      <c r="H17" s="237">
        <f t="shared" si="5"/>
        <v>73.996073472000006</v>
      </c>
      <c r="I17" s="237">
        <f t="shared" si="5"/>
        <v>73.700089178111995</v>
      </c>
      <c r="J17" s="237">
        <f t="shared" si="5"/>
        <v>73.405288821399552</v>
      </c>
      <c r="K17" s="237">
        <f t="shared" si="5"/>
        <v>73.111667666113959</v>
      </c>
      <c r="L17" s="237">
        <f t="shared" si="5"/>
        <v>72.819220995449513</v>
      </c>
      <c r="M17" s="237">
        <f t="shared" si="5"/>
        <v>72.527944111467704</v>
      </c>
      <c r="N17" s="237">
        <f t="shared" si="5"/>
        <v>72.237832335021835</v>
      </c>
      <c r="O17" s="237">
        <f t="shared" si="5"/>
        <v>71.948881005681756</v>
      </c>
      <c r="P17" s="237">
        <f t="shared" si="5"/>
        <v>71.661085481659029</v>
      </c>
      <c r="Q17" s="237">
        <f t="shared" si="5"/>
        <v>71.374441139732369</v>
      </c>
      <c r="R17" s="237">
        <f t="shared" si="5"/>
        <v>71.088943375173443</v>
      </c>
      <c r="S17" s="237">
        <f t="shared" si="5"/>
        <v>70.804587601672765</v>
      </c>
      <c r="T17" s="237">
        <f t="shared" si="5"/>
        <v>70.521369251266066</v>
      </c>
      <c r="U17" s="237">
        <f t="shared" si="5"/>
        <v>56.227513525647396</v>
      </c>
      <c r="V17" s="237">
        <f t="shared" si="5"/>
        <v>22.508867869258818</v>
      </c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5"/>
    </row>
    <row r="18" spans="1:50" x14ac:dyDescent="0.25">
      <c r="A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50" ht="18.75" x14ac:dyDescent="0.3">
      <c r="B19" s="14" t="s">
        <v>3</v>
      </c>
      <c r="C19" s="14"/>
      <c r="D19" s="14"/>
      <c r="E19" s="15">
        <f>NPV($C$8,F17:AI17)</f>
        <v>1045.088556637332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50" x14ac:dyDescent="0.25">
      <c r="A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50" ht="18.75" x14ac:dyDescent="0.3">
      <c r="A21" s="127" t="s">
        <v>80</v>
      </c>
      <c r="B21" s="126"/>
      <c r="C21" s="126"/>
      <c r="F21" s="135">
        <f t="shared" ref="F21:V21" si="6">F17*1000000/F13</f>
        <v>120000</v>
      </c>
      <c r="G21" s="135">
        <f t="shared" si="6"/>
        <v>407520.00000000006</v>
      </c>
      <c r="H21" s="135">
        <f t="shared" si="6"/>
        <v>596742.52800000005</v>
      </c>
      <c r="I21" s="135">
        <f t="shared" si="6"/>
        <v>594355.55788800004</v>
      </c>
      <c r="J21" s="135">
        <f t="shared" si="6"/>
        <v>591978.13565644796</v>
      </c>
      <c r="K21" s="135">
        <f t="shared" si="6"/>
        <v>589610.22311382229</v>
      </c>
      <c r="L21" s="135">
        <f t="shared" si="6"/>
        <v>587251.782221367</v>
      </c>
      <c r="M21" s="135">
        <f t="shared" si="6"/>
        <v>584902.77509248152</v>
      </c>
      <c r="N21" s="135">
        <f t="shared" si="6"/>
        <v>582563.16399211157</v>
      </c>
      <c r="O21" s="135">
        <f t="shared" si="6"/>
        <v>580232.91133614315</v>
      </c>
      <c r="P21" s="135">
        <f t="shared" si="6"/>
        <v>577911.97969079856</v>
      </c>
      <c r="Q21" s="135">
        <f t="shared" si="6"/>
        <v>575600.33177203534</v>
      </c>
      <c r="R21" s="135">
        <f t="shared" si="6"/>
        <v>573297.93044494721</v>
      </c>
      <c r="S21" s="135">
        <f t="shared" si="6"/>
        <v>571004.73872316745</v>
      </c>
      <c r="T21" s="135">
        <f t="shared" si="6"/>
        <v>568720.71976827469</v>
      </c>
      <c r="U21" s="135">
        <f t="shared" si="6"/>
        <v>453447.68972296285</v>
      </c>
      <c r="V21" s="135">
        <f t="shared" si="6"/>
        <v>181523.12797789369</v>
      </c>
      <c r="W21" s="241">
        <f>V21*0.996</f>
        <v>180797.0354659821</v>
      </c>
      <c r="X21" s="241">
        <f t="shared" ref="X21:AJ21" si="7">W21*0.996</f>
        <v>180073.84732411816</v>
      </c>
      <c r="Y21" s="241">
        <f t="shared" si="7"/>
        <v>179353.55193482168</v>
      </c>
      <c r="Z21" s="241">
        <f t="shared" si="7"/>
        <v>178636.13772708239</v>
      </c>
      <c r="AA21" s="241">
        <f t="shared" si="7"/>
        <v>177921.59317617406</v>
      </c>
      <c r="AB21" s="241">
        <f t="shared" si="7"/>
        <v>177209.90680346938</v>
      </c>
      <c r="AC21" s="241">
        <f t="shared" si="7"/>
        <v>176501.06717625548</v>
      </c>
      <c r="AD21" s="241">
        <f t="shared" si="7"/>
        <v>175795.06290755045</v>
      </c>
      <c r="AE21" s="241">
        <f t="shared" si="7"/>
        <v>175091.88265592026</v>
      </c>
      <c r="AF21" s="241">
        <f t="shared" si="7"/>
        <v>174391.51512529657</v>
      </c>
      <c r="AG21" s="241">
        <f t="shared" si="7"/>
        <v>173693.94906479539</v>
      </c>
      <c r="AH21" s="241">
        <f t="shared" si="7"/>
        <v>172999.17326853622</v>
      </c>
      <c r="AI21" s="241">
        <f t="shared" si="7"/>
        <v>172307.17657546207</v>
      </c>
      <c r="AJ21" s="241">
        <f t="shared" si="7"/>
        <v>171617.94786916021</v>
      </c>
    </row>
    <row r="22" spans="1:50" x14ac:dyDescent="0.25">
      <c r="A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5" spans="1:50" ht="19.5" thickBot="1" x14ac:dyDescent="0.35">
      <c r="A25" s="125" t="s">
        <v>117</v>
      </c>
      <c r="B25" s="126"/>
      <c r="E25" s="18"/>
      <c r="F25" t="s">
        <v>4</v>
      </c>
      <c r="Z25"/>
      <c r="AA25"/>
      <c r="AB25"/>
      <c r="AC25"/>
      <c r="AD25"/>
      <c r="AE25"/>
      <c r="AF25"/>
    </row>
    <row r="26" spans="1:50" ht="34.9" customHeight="1" thickBot="1" x14ac:dyDescent="0.3">
      <c r="A26" s="218" t="s">
        <v>0</v>
      </c>
      <c r="B26" s="219" t="s">
        <v>48</v>
      </c>
      <c r="C26" s="220" t="s">
        <v>53</v>
      </c>
      <c r="D26" s="220" t="s">
        <v>76</v>
      </c>
      <c r="E26" s="227" t="s">
        <v>19</v>
      </c>
      <c r="F26" s="222">
        <v>2020</v>
      </c>
      <c r="G26" s="222">
        <f>1+F26</f>
        <v>2021</v>
      </c>
      <c r="H26" s="222">
        <f t="shared" ref="H26:AJ26" si="8">1+G26</f>
        <v>2022</v>
      </c>
      <c r="I26" s="222">
        <f t="shared" si="8"/>
        <v>2023</v>
      </c>
      <c r="J26" s="222">
        <f t="shared" si="8"/>
        <v>2024</v>
      </c>
      <c r="K26" s="222">
        <f t="shared" si="8"/>
        <v>2025</v>
      </c>
      <c r="L26" s="222">
        <f t="shared" si="8"/>
        <v>2026</v>
      </c>
      <c r="M26" s="222">
        <f t="shared" si="8"/>
        <v>2027</v>
      </c>
      <c r="N26" s="222">
        <f t="shared" si="8"/>
        <v>2028</v>
      </c>
      <c r="O26" s="222">
        <f t="shared" si="8"/>
        <v>2029</v>
      </c>
      <c r="P26" s="222">
        <f t="shared" si="8"/>
        <v>2030</v>
      </c>
      <c r="Q26" s="222">
        <f t="shared" si="8"/>
        <v>2031</v>
      </c>
      <c r="R26" s="222">
        <f t="shared" si="8"/>
        <v>2032</v>
      </c>
      <c r="S26" s="222">
        <f t="shared" si="8"/>
        <v>2033</v>
      </c>
      <c r="T26" s="222">
        <f t="shared" si="8"/>
        <v>2034</v>
      </c>
      <c r="U26" s="222">
        <f t="shared" si="8"/>
        <v>2035</v>
      </c>
      <c r="V26" s="222">
        <f t="shared" si="8"/>
        <v>2036</v>
      </c>
      <c r="W26" s="222">
        <f t="shared" si="8"/>
        <v>2037</v>
      </c>
      <c r="X26" s="222">
        <f t="shared" si="8"/>
        <v>2038</v>
      </c>
      <c r="Y26" s="222">
        <f t="shared" si="8"/>
        <v>2039</v>
      </c>
      <c r="Z26" s="222">
        <f t="shared" si="8"/>
        <v>2040</v>
      </c>
      <c r="AA26" s="222">
        <f t="shared" si="8"/>
        <v>2041</v>
      </c>
      <c r="AB26" s="222">
        <f t="shared" si="8"/>
        <v>2042</v>
      </c>
      <c r="AC26" s="222">
        <f t="shared" si="8"/>
        <v>2043</v>
      </c>
      <c r="AD26" s="222">
        <f t="shared" si="8"/>
        <v>2044</v>
      </c>
      <c r="AE26" s="222">
        <f t="shared" si="8"/>
        <v>2045</v>
      </c>
      <c r="AF26" s="222">
        <f t="shared" si="8"/>
        <v>2046</v>
      </c>
      <c r="AG26" s="222">
        <f t="shared" si="8"/>
        <v>2047</v>
      </c>
      <c r="AH26" s="222">
        <f t="shared" si="8"/>
        <v>2048</v>
      </c>
      <c r="AI26" s="222">
        <f t="shared" si="8"/>
        <v>2049</v>
      </c>
      <c r="AJ26" s="223">
        <f t="shared" si="8"/>
        <v>2050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5">
      <c r="A27" s="211">
        <v>2020</v>
      </c>
      <c r="B27" s="212">
        <v>0</v>
      </c>
      <c r="C27" s="213">
        <f>'Costs &amp; Rate Impacts - All'!D$37</f>
        <v>73.7</v>
      </c>
      <c r="D27" s="214">
        <f>B27*$C$7/C27/1000000</f>
        <v>0</v>
      </c>
      <c r="E27" s="224">
        <v>0</v>
      </c>
      <c r="F27" s="225">
        <f>$B27*$C$7*$E27/1000000</f>
        <v>0</v>
      </c>
      <c r="G27" s="225">
        <f t="shared" ref="G27:Y27" si="9">$B27*$C$7*$E27/1000000*0.996^(G$26-$F$26)</f>
        <v>0</v>
      </c>
      <c r="H27" s="225">
        <f t="shared" si="9"/>
        <v>0</v>
      </c>
      <c r="I27" s="225">
        <f t="shared" si="9"/>
        <v>0</v>
      </c>
      <c r="J27" s="225">
        <f t="shared" si="9"/>
        <v>0</v>
      </c>
      <c r="K27" s="225">
        <f t="shared" si="9"/>
        <v>0</v>
      </c>
      <c r="L27" s="225">
        <f t="shared" si="9"/>
        <v>0</v>
      </c>
      <c r="M27" s="225">
        <f t="shared" si="9"/>
        <v>0</v>
      </c>
      <c r="N27" s="225">
        <f t="shared" si="9"/>
        <v>0</v>
      </c>
      <c r="O27" s="225">
        <f t="shared" si="9"/>
        <v>0</v>
      </c>
      <c r="P27" s="225">
        <f t="shared" si="9"/>
        <v>0</v>
      </c>
      <c r="Q27" s="225">
        <f t="shared" si="9"/>
        <v>0</v>
      </c>
      <c r="R27" s="225">
        <f t="shared" si="9"/>
        <v>0</v>
      </c>
      <c r="S27" s="225">
        <f t="shared" si="9"/>
        <v>0</v>
      </c>
      <c r="T27" s="225">
        <f t="shared" si="9"/>
        <v>0</v>
      </c>
      <c r="U27" s="225">
        <f t="shared" si="9"/>
        <v>0</v>
      </c>
      <c r="V27" s="225">
        <f t="shared" si="9"/>
        <v>0</v>
      </c>
      <c r="W27" s="225">
        <f t="shared" si="9"/>
        <v>0</v>
      </c>
      <c r="X27" s="225">
        <f t="shared" si="9"/>
        <v>0</v>
      </c>
      <c r="Y27" s="225">
        <f t="shared" si="9"/>
        <v>0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26"/>
    </row>
    <row r="28" spans="1:50" x14ac:dyDescent="0.25">
      <c r="A28" s="199">
        <f>1+A27</f>
        <v>2021</v>
      </c>
      <c r="B28" s="80">
        <v>0</v>
      </c>
      <c r="C28" s="197">
        <f>'Costs &amp; Rate Impacts - All'!E$37</f>
        <v>74.436999999999998</v>
      </c>
      <c r="D28" s="198">
        <f t="shared" ref="D28:D57" si="10">D27+B28*$C$7/C28/1000000</f>
        <v>0</v>
      </c>
      <c r="E28" s="62">
        <v>100</v>
      </c>
      <c r="F28" s="22"/>
      <c r="G28" s="22">
        <f>$B28*$C$7*$E28/1000000</f>
        <v>0</v>
      </c>
      <c r="H28" s="22">
        <f t="shared" ref="H28:Z28" si="11">$B28*$C$7*$E28/1000000*0.996^(H$26-$F$26)</f>
        <v>0</v>
      </c>
      <c r="I28" s="22">
        <f t="shared" si="11"/>
        <v>0</v>
      </c>
      <c r="J28" s="22">
        <f t="shared" si="11"/>
        <v>0</v>
      </c>
      <c r="K28" s="22">
        <f t="shared" si="11"/>
        <v>0</v>
      </c>
      <c r="L28" s="22">
        <f t="shared" si="11"/>
        <v>0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22">
        <f t="shared" si="11"/>
        <v>0</v>
      </c>
      <c r="Q28" s="22">
        <f t="shared" si="11"/>
        <v>0</v>
      </c>
      <c r="R28" s="22">
        <f t="shared" si="11"/>
        <v>0</v>
      </c>
      <c r="S28" s="22">
        <f t="shared" si="11"/>
        <v>0</v>
      </c>
      <c r="T28" s="22">
        <f t="shared" si="11"/>
        <v>0</v>
      </c>
      <c r="U28" s="22">
        <f t="shared" si="11"/>
        <v>0</v>
      </c>
      <c r="V28" s="22">
        <f t="shared" si="11"/>
        <v>0</v>
      </c>
      <c r="W28" s="22">
        <f t="shared" si="11"/>
        <v>0</v>
      </c>
      <c r="X28" s="22">
        <f t="shared" si="11"/>
        <v>0</v>
      </c>
      <c r="Y28" s="22">
        <f t="shared" si="11"/>
        <v>0</v>
      </c>
      <c r="Z28" s="22">
        <f t="shared" si="11"/>
        <v>0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00"/>
    </row>
    <row r="29" spans="1:50" x14ac:dyDescent="0.25">
      <c r="A29" s="199">
        <f t="shared" ref="A29:A57" si="12">1+A28</f>
        <v>2022</v>
      </c>
      <c r="B29" s="80">
        <v>407</v>
      </c>
      <c r="C29" s="197">
        <f>'Costs &amp; Rate Impacts - All'!F$37</f>
        <v>75.181370000000001</v>
      </c>
      <c r="D29" s="198">
        <f t="shared" si="10"/>
        <v>6.4962902378607884E-3</v>
      </c>
      <c r="E29" s="62">
        <v>90</v>
      </c>
      <c r="F29" s="22"/>
      <c r="G29" s="22"/>
      <c r="H29" s="22">
        <f>$B29*$C$7*$E29/1000000</f>
        <v>43.956000000000003</v>
      </c>
      <c r="I29" s="22">
        <f t="shared" ref="I29:AA29" si="13">$B29*$C$7*$E29/1000000*0.996^(I$26-$F$26)</f>
        <v>43.430635074816003</v>
      </c>
      <c r="J29" s="22">
        <f t="shared" si="13"/>
        <v>43.256912534516736</v>
      </c>
      <c r="K29" s="22">
        <f t="shared" si="13"/>
        <v>43.083884884378669</v>
      </c>
      <c r="L29" s="22">
        <f t="shared" si="13"/>
        <v>42.911549344841156</v>
      </c>
      <c r="M29" s="22">
        <f t="shared" si="13"/>
        <v>42.739903147461789</v>
      </c>
      <c r="N29" s="22">
        <f t="shared" si="13"/>
        <v>42.568943534871948</v>
      </c>
      <c r="O29" s="22">
        <f t="shared" si="13"/>
        <v>42.398667760732458</v>
      </c>
      <c r="P29" s="22">
        <f t="shared" si="13"/>
        <v>42.229073089689528</v>
      </c>
      <c r="Q29" s="22">
        <f t="shared" si="13"/>
        <v>42.06015679733077</v>
      </c>
      <c r="R29" s="22">
        <f t="shared" si="13"/>
        <v>41.89191617014145</v>
      </c>
      <c r="S29" s="22">
        <f t="shared" si="13"/>
        <v>41.724348505460881</v>
      </c>
      <c r="T29" s="22">
        <f t="shared" si="13"/>
        <v>41.557451111439036</v>
      </c>
      <c r="U29" s="22">
        <f t="shared" si="13"/>
        <v>41.39122130699328</v>
      </c>
      <c r="V29" s="22">
        <f t="shared" si="13"/>
        <v>41.225656421765308</v>
      </c>
      <c r="W29" s="22">
        <f t="shared" si="13"/>
        <v>41.060753796078252</v>
      </c>
      <c r="X29" s="22">
        <f t="shared" si="13"/>
        <v>40.896510780893934</v>
      </c>
      <c r="Y29" s="22">
        <f t="shared" si="13"/>
        <v>40.732924737770354</v>
      </c>
      <c r="Z29" s="22">
        <f t="shared" si="13"/>
        <v>40.569993038819277</v>
      </c>
      <c r="AA29" s="22">
        <f t="shared" si="13"/>
        <v>40.407713066664002</v>
      </c>
      <c r="AB29" s="21"/>
      <c r="AC29" s="21"/>
      <c r="AD29" s="21"/>
      <c r="AE29" s="21"/>
      <c r="AF29" s="21"/>
      <c r="AG29" s="21"/>
      <c r="AH29" s="21"/>
      <c r="AI29" s="21"/>
      <c r="AJ29" s="200"/>
    </row>
    <row r="30" spans="1:50" x14ac:dyDescent="0.25">
      <c r="A30" s="199">
        <f t="shared" si="12"/>
        <v>2023</v>
      </c>
      <c r="B30" s="80">
        <v>720</v>
      </c>
      <c r="C30" s="197">
        <f>'Costs &amp; Rate Impacts - All'!G$37</f>
        <v>75.933183700000001</v>
      </c>
      <c r="D30" s="198">
        <f t="shared" si="10"/>
        <v>1.7874714767161806E-2</v>
      </c>
      <c r="E30" s="62">
        <v>75</v>
      </c>
      <c r="F30" s="22"/>
      <c r="G30" s="22"/>
      <c r="H30" s="22"/>
      <c r="I30" s="22">
        <f>$B30*$C$7*$E30/1000000</f>
        <v>64.8</v>
      </c>
      <c r="J30" s="22">
        <f t="shared" ref="J30:AB30" si="14">$B30*$C$7*$E30/1000000*0.996^(J$26-$F$26)</f>
        <v>63.769404227788797</v>
      </c>
      <c r="K30" s="22">
        <f t="shared" si="14"/>
        <v>63.514326610877639</v>
      </c>
      <c r="L30" s="22">
        <f t="shared" si="14"/>
        <v>63.260269304434132</v>
      </c>
      <c r="M30" s="22">
        <f t="shared" si="14"/>
        <v>63.007228227216395</v>
      </c>
      <c r="N30" s="22">
        <f t="shared" si="14"/>
        <v>62.755199314307532</v>
      </c>
      <c r="O30" s="22">
        <f t="shared" si="14"/>
        <v>62.504178517050299</v>
      </c>
      <c r="P30" s="22">
        <f t="shared" si="14"/>
        <v>62.254161802982104</v>
      </c>
      <c r="Q30" s="22">
        <f t="shared" si="14"/>
        <v>62.005145155770165</v>
      </c>
      <c r="R30" s="22">
        <f t="shared" si="14"/>
        <v>61.757124575147088</v>
      </c>
      <c r="S30" s="22">
        <f t="shared" si="14"/>
        <v>61.510096076846501</v>
      </c>
      <c r="T30" s="22">
        <f t="shared" si="14"/>
        <v>61.264055692539117</v>
      </c>
      <c r="U30" s="22">
        <f t="shared" si="14"/>
        <v>61.018999469768957</v>
      </c>
      <c r="V30" s="22">
        <f t="shared" si="14"/>
        <v>60.774923471889885</v>
      </c>
      <c r="W30" s="22">
        <f t="shared" si="14"/>
        <v>60.531823778002327</v>
      </c>
      <c r="X30" s="22">
        <f t="shared" si="14"/>
        <v>60.289696482890314</v>
      </c>
      <c r="Y30" s="22">
        <f t="shared" si="14"/>
        <v>60.048537696958753</v>
      </c>
      <c r="Z30" s="22">
        <f t="shared" si="14"/>
        <v>59.808343546170917</v>
      </c>
      <c r="AA30" s="22">
        <f t="shared" si="14"/>
        <v>59.569110171986232</v>
      </c>
      <c r="AB30" s="22">
        <f t="shared" si="14"/>
        <v>59.330833731298299</v>
      </c>
      <c r="AC30" s="21"/>
      <c r="AD30" s="21"/>
      <c r="AE30" s="21"/>
      <c r="AF30" s="21"/>
      <c r="AG30" s="21"/>
      <c r="AH30" s="21"/>
      <c r="AI30" s="21"/>
      <c r="AJ30" s="200"/>
    </row>
    <row r="31" spans="1:50" x14ac:dyDescent="0.25">
      <c r="A31" s="199">
        <f t="shared" si="12"/>
        <v>2024</v>
      </c>
      <c r="B31" s="80">
        <v>757</v>
      </c>
      <c r="C31" s="197">
        <f>'Costs &amp; Rate Impacts - All'!H$37</f>
        <v>76.692515537000006</v>
      </c>
      <c r="D31" s="198">
        <f t="shared" si="10"/>
        <v>2.9719416869308214E-2</v>
      </c>
      <c r="E31" s="62">
        <v>70</v>
      </c>
      <c r="F31" s="22"/>
      <c r="G31" s="22"/>
      <c r="H31" s="22"/>
      <c r="I31" s="22"/>
      <c r="J31" s="22">
        <f>$B31*$C$7*$E31/1000000</f>
        <v>63.588000000000001</v>
      </c>
      <c r="K31" s="22">
        <f t="shared" ref="K31:AC31" si="15">$B31*$C$7*$E31/1000000*0.996^(K$26-$F$26)</f>
        <v>62.326373465007528</v>
      </c>
      <c r="L31" s="22">
        <f t="shared" si="15"/>
        <v>62.0770679711475</v>
      </c>
      <c r="M31" s="22">
        <f t="shared" si="15"/>
        <v>61.828759699262903</v>
      </c>
      <c r="N31" s="22">
        <f t="shared" si="15"/>
        <v>61.581444660465856</v>
      </c>
      <c r="O31" s="22">
        <f t="shared" si="15"/>
        <v>61.335118881823995</v>
      </c>
      <c r="P31" s="22">
        <f t="shared" si="15"/>
        <v>61.089778406296702</v>
      </c>
      <c r="Q31" s="22">
        <f t="shared" si="15"/>
        <v>60.845419292671501</v>
      </c>
      <c r="R31" s="22">
        <f t="shared" si="15"/>
        <v>60.602037615500819</v>
      </c>
      <c r="S31" s="22">
        <f t="shared" si="15"/>
        <v>60.359629465038822</v>
      </c>
      <c r="T31" s="22">
        <f t="shared" si="15"/>
        <v>60.118190947178668</v>
      </c>
      <c r="U31" s="22">
        <f t="shared" si="15"/>
        <v>59.877718183389952</v>
      </c>
      <c r="V31" s="22">
        <f t="shared" si="15"/>
        <v>59.638207310656391</v>
      </c>
      <c r="W31" s="22">
        <f t="shared" si="15"/>
        <v>59.399654481413769</v>
      </c>
      <c r="X31" s="22">
        <f t="shared" si="15"/>
        <v>59.162055863488114</v>
      </c>
      <c r="Y31" s="22">
        <f t="shared" si="15"/>
        <v>58.925407640034159</v>
      </c>
      <c r="Z31" s="22">
        <f t="shared" si="15"/>
        <v>58.689706009474023</v>
      </c>
      <c r="AA31" s="22">
        <f t="shared" si="15"/>
        <v>58.454947185436126</v>
      </c>
      <c r="AB31" s="22">
        <f t="shared" si="15"/>
        <v>58.221127396694385</v>
      </c>
      <c r="AC31" s="22">
        <f t="shared" si="15"/>
        <v>57.988242887107603</v>
      </c>
      <c r="AD31" s="21"/>
      <c r="AE31" s="21"/>
      <c r="AF31" s="21"/>
      <c r="AG31" s="21"/>
      <c r="AH31" s="21"/>
      <c r="AI31" s="21"/>
      <c r="AJ31" s="200"/>
    </row>
    <row r="32" spans="1:50" x14ac:dyDescent="0.25">
      <c r="A32" s="199">
        <f t="shared" si="12"/>
        <v>2025</v>
      </c>
      <c r="B32" s="80">
        <v>799</v>
      </c>
      <c r="C32" s="197">
        <f>'Costs &amp; Rate Impacts - All'!I$37</f>
        <v>77.459440692370009</v>
      </c>
      <c r="D32" s="198">
        <f t="shared" si="10"/>
        <v>4.2097507795730883E-2</v>
      </c>
      <c r="E32" s="62">
        <f t="shared" ref="E32:E57" si="16">E31*0.95</f>
        <v>66.5</v>
      </c>
      <c r="F32" s="22"/>
      <c r="G32" s="22"/>
      <c r="H32" s="22"/>
      <c r="I32" s="22"/>
      <c r="J32" s="22"/>
      <c r="K32" s="22">
        <f>$B32*$C$7*$E32/1000000</f>
        <v>63.760199999999998</v>
      </c>
      <c r="L32" s="22">
        <f t="shared" ref="L32:AD32" si="17">$B32*$C$7*$E32/1000000*0.996^(L$26-$F$26)</f>
        <v>62.245176279391686</v>
      </c>
      <c r="M32" s="22">
        <f t="shared" si="17"/>
        <v>61.996195574274118</v>
      </c>
      <c r="N32" s="22">
        <f t="shared" si="17"/>
        <v>61.748210791977023</v>
      </c>
      <c r="O32" s="22">
        <f t="shared" si="17"/>
        <v>61.501217948809114</v>
      </c>
      <c r="P32" s="22">
        <f t="shared" si="17"/>
        <v>61.255213077013877</v>
      </c>
      <c r="Q32" s="22">
        <f t="shared" si="17"/>
        <v>61.010192224705818</v>
      </c>
      <c r="R32" s="22">
        <f t="shared" si="17"/>
        <v>60.766151455806998</v>
      </c>
      <c r="S32" s="22">
        <f t="shared" si="17"/>
        <v>60.52308684998377</v>
      </c>
      <c r="T32" s="22">
        <f t="shared" si="17"/>
        <v>60.280994502583837</v>
      </c>
      <c r="U32" s="22">
        <f t="shared" si="17"/>
        <v>60.039870524573502</v>
      </c>
      <c r="V32" s="22">
        <f t="shared" si="17"/>
        <v>59.799711042475209</v>
      </c>
      <c r="W32" s="22">
        <f t="shared" si="17"/>
        <v>59.560512198305311</v>
      </c>
      <c r="X32" s="22">
        <f t="shared" si="17"/>
        <v>59.322270149512086</v>
      </c>
      <c r="Y32" s="22">
        <f t="shared" si="17"/>
        <v>59.084981068914033</v>
      </c>
      <c r="Z32" s="22">
        <f t="shared" si="17"/>
        <v>58.848641144638378</v>
      </c>
      <c r="AA32" s="22">
        <f t="shared" si="17"/>
        <v>58.613246580059823</v>
      </c>
      <c r="AB32" s="22">
        <f t="shared" si="17"/>
        <v>58.378793593739594</v>
      </c>
      <c r="AC32" s="22">
        <f t="shared" si="17"/>
        <v>58.145278419364629</v>
      </c>
      <c r="AD32" s="22">
        <f t="shared" si="17"/>
        <v>57.912697305687168</v>
      </c>
      <c r="AE32" s="21"/>
      <c r="AF32" s="21"/>
      <c r="AG32" s="21"/>
      <c r="AH32" s="21"/>
      <c r="AI32" s="21"/>
      <c r="AJ32" s="200"/>
    </row>
    <row r="33" spans="1:46" x14ac:dyDescent="0.25">
      <c r="A33" s="199">
        <f t="shared" si="12"/>
        <v>2026</v>
      </c>
      <c r="B33" s="80">
        <v>845</v>
      </c>
      <c r="C33" s="197">
        <f>'Costs &amp; Rate Impacts - All'!J$37</f>
        <v>78.234035099293706</v>
      </c>
      <c r="D33" s="198">
        <f t="shared" si="10"/>
        <v>5.5058618630843034E-2</v>
      </c>
      <c r="E33" s="62">
        <f t="shared" si="16"/>
        <v>63.174999999999997</v>
      </c>
      <c r="F33" s="22"/>
      <c r="G33" s="22"/>
      <c r="H33" s="22"/>
      <c r="I33" s="22"/>
      <c r="J33" s="22"/>
      <c r="K33" s="22"/>
      <c r="L33" s="22">
        <f>$B33*$C$7*$E33/1000000</f>
        <v>64.059449999999998</v>
      </c>
      <c r="M33" s="22">
        <f t="shared" ref="M33:AE33" si="18">$B33*$C$7*$E33/1000000*0.996^(M$26-$F$26)</f>
        <v>62.287166454628974</v>
      </c>
      <c r="N33" s="22">
        <f t="shared" si="18"/>
        <v>62.038017788810457</v>
      </c>
      <c r="O33" s="22">
        <f t="shared" si="18"/>
        <v>61.789865717655218</v>
      </c>
      <c r="P33" s="22">
        <f t="shared" si="18"/>
        <v>61.542706254784598</v>
      </c>
      <c r="Q33" s="22">
        <f t="shared" si="18"/>
        <v>61.296535429765449</v>
      </c>
      <c r="R33" s="22">
        <f t="shared" si="18"/>
        <v>61.051349288046396</v>
      </c>
      <c r="S33" s="22">
        <f t="shared" si="18"/>
        <v>60.80714389089421</v>
      </c>
      <c r="T33" s="22">
        <f t="shared" si="18"/>
        <v>60.563915315330632</v>
      </c>
      <c r="U33" s="22">
        <f t="shared" si="18"/>
        <v>60.321659654069308</v>
      </c>
      <c r="V33" s="22">
        <f t="shared" si="18"/>
        <v>60.080373015453034</v>
      </c>
      <c r="W33" s="22">
        <f t="shared" si="18"/>
        <v>59.840051523391224</v>
      </c>
      <c r="X33" s="22">
        <f t="shared" si="18"/>
        <v>59.60069131729766</v>
      </c>
      <c r="Y33" s="22">
        <f t="shared" si="18"/>
        <v>59.36228855202846</v>
      </c>
      <c r="Z33" s="22">
        <f t="shared" si="18"/>
        <v>59.124839397820352</v>
      </c>
      <c r="AA33" s="22">
        <f t="shared" si="18"/>
        <v>58.888340040229068</v>
      </c>
      <c r="AB33" s="22">
        <f t="shared" si="18"/>
        <v>58.652786680068161</v>
      </c>
      <c r="AC33" s="22">
        <f t="shared" si="18"/>
        <v>58.418175533347885</v>
      </c>
      <c r="AD33" s="22">
        <f t="shared" si="18"/>
        <v>58.184502831214488</v>
      </c>
      <c r="AE33" s="22">
        <f t="shared" si="18"/>
        <v>57.951764819889632</v>
      </c>
      <c r="AF33" s="21"/>
      <c r="AG33" s="21"/>
      <c r="AH33" s="21"/>
      <c r="AI33" s="21"/>
      <c r="AJ33" s="200"/>
    </row>
    <row r="34" spans="1:46" x14ac:dyDescent="0.25">
      <c r="A34" s="199">
        <f t="shared" si="12"/>
        <v>2027</v>
      </c>
      <c r="B34" s="80">
        <v>895</v>
      </c>
      <c r="C34" s="197">
        <f>'Costs &amp; Rate Impacts - All'!K$37</f>
        <v>79.016375450286645</v>
      </c>
      <c r="D34" s="198">
        <f t="shared" si="10"/>
        <v>6.8650737908393419E-2</v>
      </c>
      <c r="E34" s="62">
        <f t="shared" si="16"/>
        <v>60.016249999999992</v>
      </c>
      <c r="F34" s="22"/>
      <c r="G34" s="22"/>
      <c r="H34" s="22"/>
      <c r="I34" s="22"/>
      <c r="J34" s="22"/>
      <c r="K34" s="22"/>
      <c r="L34" s="22"/>
      <c r="M34" s="22">
        <f>$B34*$C$7*$E34/1000000</f>
        <v>64.457452499999988</v>
      </c>
      <c r="N34" s="22">
        <f t="shared" ref="N34:AF34" si="19">$B34*$C$7*$E34/1000000*0.996^(N$26-$F$26)</f>
        <v>62.423461094598913</v>
      </c>
      <c r="O34" s="22">
        <f t="shared" si="19"/>
        <v>62.173767250220521</v>
      </c>
      <c r="P34" s="22">
        <f t="shared" si="19"/>
        <v>61.92507218121964</v>
      </c>
      <c r="Q34" s="22">
        <f t="shared" si="19"/>
        <v>61.677371892494754</v>
      </c>
      <c r="R34" s="22">
        <f t="shared" si="19"/>
        <v>61.430662404924774</v>
      </c>
      <c r="S34" s="22">
        <f t="shared" si="19"/>
        <v>61.184939755305081</v>
      </c>
      <c r="T34" s="22">
        <f t="shared" si="19"/>
        <v>60.940199996283859</v>
      </c>
      <c r="U34" s="22">
        <f t="shared" si="19"/>
        <v>60.696439196298726</v>
      </c>
      <c r="V34" s="22">
        <f t="shared" si="19"/>
        <v>60.453653439513531</v>
      </c>
      <c r="W34" s="22">
        <f t="shared" si="19"/>
        <v>60.211838825755478</v>
      </c>
      <c r="X34" s="22">
        <f t="shared" si="19"/>
        <v>59.970991470452454</v>
      </c>
      <c r="Y34" s="22">
        <f t="shared" si="19"/>
        <v>59.731107504570645</v>
      </c>
      <c r="Z34" s="22">
        <f t="shared" si="19"/>
        <v>59.492183074552365</v>
      </c>
      <c r="AA34" s="22">
        <f t="shared" si="19"/>
        <v>59.254214342254151</v>
      </c>
      <c r="AB34" s="22">
        <f t="shared" si="19"/>
        <v>59.017197484885145</v>
      </c>
      <c r="AC34" s="22">
        <f t="shared" si="19"/>
        <v>58.781128694945593</v>
      </c>
      <c r="AD34" s="22">
        <f t="shared" si="19"/>
        <v>58.546004180165809</v>
      </c>
      <c r="AE34" s="22">
        <f t="shared" si="19"/>
        <v>58.311820163445148</v>
      </c>
      <c r="AF34" s="22">
        <f t="shared" si="19"/>
        <v>58.078572882791377</v>
      </c>
      <c r="AG34" s="21"/>
      <c r="AH34" s="21"/>
      <c r="AI34" s="21"/>
      <c r="AJ34" s="200"/>
    </row>
    <row r="35" spans="1:46" x14ac:dyDescent="0.25">
      <c r="A35" s="199">
        <f t="shared" si="12"/>
        <v>2028</v>
      </c>
      <c r="B35" s="80">
        <v>951</v>
      </c>
      <c r="C35" s="197">
        <f>'Costs &amp; Rate Impacts - All'!L$37</f>
        <v>79.806539204789516</v>
      </c>
      <c r="D35" s="198">
        <f t="shared" si="10"/>
        <v>8.2950318010114099E-2</v>
      </c>
      <c r="E35" s="62">
        <f t="shared" si="16"/>
        <v>57.01543749999999</v>
      </c>
      <c r="F35" s="22"/>
      <c r="G35" s="22"/>
      <c r="H35" s="22"/>
      <c r="I35" s="22"/>
      <c r="J35" s="22"/>
      <c r="K35" s="22"/>
      <c r="L35" s="22"/>
      <c r="M35" s="22"/>
      <c r="N35" s="22">
        <f>$B35*$C$7*$E35/1000000</f>
        <v>65.066017274999993</v>
      </c>
      <c r="O35" s="22">
        <f t="shared" ref="O35:AG35" si="20">$B35*$C$7*$E35/1000000*0.996^(O$26-$F$26)</f>
        <v>62.760770974538246</v>
      </c>
      <c r="P35" s="22">
        <f t="shared" si="20"/>
        <v>62.5097278906401</v>
      </c>
      <c r="Q35" s="22">
        <f t="shared" si="20"/>
        <v>62.259688979077531</v>
      </c>
      <c r="R35" s="22">
        <f t="shared" si="20"/>
        <v>62.010650223161221</v>
      </c>
      <c r="S35" s="22">
        <f t="shared" si="20"/>
        <v>61.762607622268582</v>
      </c>
      <c r="T35" s="22">
        <f t="shared" si="20"/>
        <v>61.515557191779507</v>
      </c>
      <c r="U35" s="22">
        <f t="shared" si="20"/>
        <v>61.269494963012392</v>
      </c>
      <c r="V35" s="22">
        <f t="shared" si="20"/>
        <v>61.024416983160343</v>
      </c>
      <c r="W35" s="22">
        <f t="shared" si="20"/>
        <v>60.7803193152277</v>
      </c>
      <c r="X35" s="22">
        <f t="shared" si="20"/>
        <v>60.537198037966789</v>
      </c>
      <c r="Y35" s="22">
        <f t="shared" si="20"/>
        <v>60.295049245814916</v>
      </c>
      <c r="Z35" s="22">
        <f t="shared" si="20"/>
        <v>60.053869048831658</v>
      </c>
      <c r="AA35" s="22">
        <f t="shared" si="20"/>
        <v>59.813653572636326</v>
      </c>
      <c r="AB35" s="22">
        <f t="shared" si="20"/>
        <v>59.574398958345796</v>
      </c>
      <c r="AC35" s="22">
        <f t="shared" si="20"/>
        <v>59.336101362512409</v>
      </c>
      <c r="AD35" s="22">
        <f t="shared" si="20"/>
        <v>59.098756957062356</v>
      </c>
      <c r="AE35" s="22">
        <f t="shared" si="20"/>
        <v>58.862361929234105</v>
      </c>
      <c r="AF35" s="22">
        <f t="shared" si="20"/>
        <v>58.626912481517174</v>
      </c>
      <c r="AG35" s="22">
        <f t="shared" si="20"/>
        <v>58.392404831591101</v>
      </c>
      <c r="AH35" s="21"/>
      <c r="AI35" s="21"/>
      <c r="AJ35" s="200"/>
      <c r="AK35" s="10"/>
      <c r="AL35" s="10"/>
      <c r="AM35" s="10"/>
      <c r="AN35" s="10"/>
      <c r="AO35" s="10"/>
      <c r="AP35" s="10"/>
      <c r="AQ35" s="10"/>
      <c r="AR35" s="10"/>
    </row>
    <row r="36" spans="1:46" x14ac:dyDescent="0.25">
      <c r="A36" s="199">
        <f t="shared" si="12"/>
        <v>2029</v>
      </c>
      <c r="B36" s="80">
        <v>1012</v>
      </c>
      <c r="C36" s="197">
        <f>'Costs &amp; Rate Impacts - All'!M$37</f>
        <v>80.604604596837419</v>
      </c>
      <c r="D36" s="198">
        <f t="shared" si="10"/>
        <v>9.8016454815500129E-2</v>
      </c>
      <c r="E36" s="62">
        <f t="shared" si="16"/>
        <v>54.164665624999991</v>
      </c>
      <c r="F36" s="22"/>
      <c r="G36" s="22"/>
      <c r="H36" s="22"/>
      <c r="I36" s="22"/>
      <c r="J36" s="22"/>
      <c r="K36" s="22"/>
      <c r="L36" s="22"/>
      <c r="M36" s="22"/>
      <c r="N36" s="22"/>
      <c r="O36" s="22">
        <f>$B36*$C$7*$E36/1000000</f>
        <v>65.777569934999988</v>
      </c>
      <c r="P36" s="22">
        <f t="shared" ref="P36:AH36" si="21">$B36*$C$7*$E36/1000000*0.996^(P$26-$F$26)</f>
        <v>63.19332533550093</v>
      </c>
      <c r="Q36" s="22">
        <f t="shared" si="21"/>
        <v>62.94055203415892</v>
      </c>
      <c r="R36" s="22">
        <f t="shared" si="21"/>
        <v>62.688789826022287</v>
      </c>
      <c r="S36" s="22">
        <f t="shared" si="21"/>
        <v>62.438034666718202</v>
      </c>
      <c r="T36" s="22">
        <f t="shared" si="21"/>
        <v>62.188282528051325</v>
      </c>
      <c r="U36" s="22">
        <f t="shared" si="21"/>
        <v>61.939529397939125</v>
      </c>
      <c r="V36" s="22">
        <f t="shared" si="21"/>
        <v>61.691771280347368</v>
      </c>
      <c r="W36" s="22">
        <f t="shared" si="21"/>
        <v>61.445004195225977</v>
      </c>
      <c r="X36" s="22">
        <f t="shared" si="21"/>
        <v>61.199224178445071</v>
      </c>
      <c r="Y36" s="22">
        <f t="shared" si="21"/>
        <v>60.954427281731292</v>
      </c>
      <c r="Z36" s="22">
        <f t="shared" si="21"/>
        <v>60.710609572604369</v>
      </c>
      <c r="AA36" s="22">
        <f t="shared" si="21"/>
        <v>60.467767134313945</v>
      </c>
      <c r="AB36" s="22">
        <f t="shared" si="21"/>
        <v>60.225896065776702</v>
      </c>
      <c r="AC36" s="22">
        <f t="shared" si="21"/>
        <v>59.984992481513586</v>
      </c>
      <c r="AD36" s="22">
        <f t="shared" si="21"/>
        <v>59.745052511587531</v>
      </c>
      <c r="AE36" s="22">
        <f t="shared" si="21"/>
        <v>59.506072301541181</v>
      </c>
      <c r="AF36" s="22">
        <f t="shared" si="21"/>
        <v>59.268048012335022</v>
      </c>
      <c r="AG36" s="22">
        <f t="shared" si="21"/>
        <v>59.030975820285676</v>
      </c>
      <c r="AH36" s="22">
        <f t="shared" si="21"/>
        <v>58.794851917004543</v>
      </c>
      <c r="AI36" s="21"/>
      <c r="AJ36" s="200"/>
    </row>
    <row r="37" spans="1:46" x14ac:dyDescent="0.25">
      <c r="A37" s="199">
        <f t="shared" si="12"/>
        <v>2030</v>
      </c>
      <c r="B37" s="80">
        <v>1078</v>
      </c>
      <c r="C37" s="197">
        <f>'Costs &amp; Rate Impacts - All'!N$37</f>
        <v>81.410650642805791</v>
      </c>
      <c r="D37" s="198">
        <f t="shared" si="10"/>
        <v>0.11390626763220085</v>
      </c>
      <c r="E37" s="62">
        <f t="shared" si="16"/>
        <v>51.456432343749988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f>$B37*$C$7*$E37/1000000</f>
        <v>66.56404087987498</v>
      </c>
      <c r="Q37" s="22">
        <f t="shared" ref="Q37:AI37" si="22">$B37*$C$7*$E37/1000000*0.996^(Q$26-$F$26)</f>
        <v>63.6931021128282</v>
      </c>
      <c r="R37" s="22">
        <f t="shared" si="22"/>
        <v>63.438329704376898</v>
      </c>
      <c r="S37" s="22">
        <f t="shared" si="22"/>
        <v>63.184576385559389</v>
      </c>
      <c r="T37" s="22">
        <f t="shared" si="22"/>
        <v>62.931838080017151</v>
      </c>
      <c r="U37" s="22">
        <f t="shared" si="22"/>
        <v>62.680110727697084</v>
      </c>
      <c r="V37" s="22">
        <f t="shared" si="22"/>
        <v>62.429390284786294</v>
      </c>
      <c r="W37" s="22">
        <f t="shared" si="22"/>
        <v>62.179672723647151</v>
      </c>
      <c r="X37" s="22">
        <f t="shared" si="22"/>
        <v>61.93095403275256</v>
      </c>
      <c r="Y37" s="22">
        <f t="shared" si="22"/>
        <v>61.683230216621546</v>
      </c>
      <c r="Z37" s="22">
        <f t="shared" si="22"/>
        <v>61.436497295755068</v>
      </c>
      <c r="AA37" s="22">
        <f t="shared" si="22"/>
        <v>61.190751306572039</v>
      </c>
      <c r="AB37" s="22">
        <f t="shared" si="22"/>
        <v>60.945988301345764</v>
      </c>
      <c r="AC37" s="22">
        <f t="shared" si="22"/>
        <v>60.702204348140377</v>
      </c>
      <c r="AD37" s="22">
        <f t="shared" si="22"/>
        <v>60.459395530747813</v>
      </c>
      <c r="AE37" s="22">
        <f t="shared" si="22"/>
        <v>60.217557948624822</v>
      </c>
      <c r="AF37" s="22">
        <f t="shared" si="22"/>
        <v>59.976687716830327</v>
      </c>
      <c r="AG37" s="22">
        <f t="shared" si="22"/>
        <v>59.736780965963</v>
      </c>
      <c r="AH37" s="22">
        <f t="shared" si="22"/>
        <v>59.497833842099155</v>
      </c>
      <c r="AI37" s="22">
        <f t="shared" si="22"/>
        <v>59.259842506730749</v>
      </c>
      <c r="AJ37" s="201"/>
    </row>
    <row r="38" spans="1:46" x14ac:dyDescent="0.25">
      <c r="A38" s="199">
        <f t="shared" si="12"/>
        <v>2031</v>
      </c>
      <c r="B38" s="80">
        <f>$B$37</f>
        <v>1078</v>
      </c>
      <c r="C38" s="197">
        <f>'Costs &amp; Rate Impacts - All'!O$37</f>
        <v>82.224757149233852</v>
      </c>
      <c r="D38" s="198">
        <f t="shared" si="10"/>
        <v>0.12963875556952831</v>
      </c>
      <c r="E38" s="62">
        <f t="shared" si="16"/>
        <v>48.883610726562488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>
        <f>$B38*$C$7*$E38/1000000</f>
        <v>63.235838835881232</v>
      </c>
      <c r="R38" s="22">
        <f t="shared" ref="R38:AJ38" si="23">$B38*$C$7*$E38/1000000*0.996^(R$26-$F$26)</f>
        <v>60.266413219158053</v>
      </c>
      <c r="S38" s="22">
        <f t="shared" si="23"/>
        <v>60.025347566281418</v>
      </c>
      <c r="T38" s="22">
        <f t="shared" si="23"/>
        <v>59.785246176016294</v>
      </c>
      <c r="U38" s="22">
        <f t="shared" si="23"/>
        <v>59.546105191312229</v>
      </c>
      <c r="V38" s="22">
        <f t="shared" si="23"/>
        <v>59.307920770546986</v>
      </c>
      <c r="W38" s="22">
        <f t="shared" si="23"/>
        <v>59.070689087464793</v>
      </c>
      <c r="X38" s="22">
        <f t="shared" si="23"/>
        <v>58.834406331114934</v>
      </c>
      <c r="Y38" s="22">
        <f t="shared" si="23"/>
        <v>58.599068705790472</v>
      </c>
      <c r="Z38" s="22">
        <f t="shared" si="23"/>
        <v>58.36467243096731</v>
      </c>
      <c r="AA38" s="22">
        <f t="shared" si="23"/>
        <v>58.131213741243442</v>
      </c>
      <c r="AB38" s="22">
        <f t="shared" si="23"/>
        <v>57.898688886278478</v>
      </c>
      <c r="AC38" s="22">
        <f t="shared" si="23"/>
        <v>57.667094130733354</v>
      </c>
      <c r="AD38" s="22">
        <f t="shared" si="23"/>
        <v>57.436425754210418</v>
      </c>
      <c r="AE38" s="22">
        <f t="shared" si="23"/>
        <v>57.20668005119358</v>
      </c>
      <c r="AF38" s="22">
        <f t="shared" si="23"/>
        <v>56.977853330988815</v>
      </c>
      <c r="AG38" s="22">
        <f t="shared" si="23"/>
        <v>56.749941917664849</v>
      </c>
      <c r="AH38" s="22">
        <f t="shared" si="23"/>
        <v>56.522942149994194</v>
      </c>
      <c r="AI38" s="22">
        <f t="shared" si="23"/>
        <v>56.296850381394215</v>
      </c>
      <c r="AJ38" s="201">
        <f t="shared" si="23"/>
        <v>56.071662979868641</v>
      </c>
    </row>
    <row r="39" spans="1:46" x14ac:dyDescent="0.25">
      <c r="A39" s="199">
        <f t="shared" si="12"/>
        <v>2032</v>
      </c>
      <c r="B39" s="80">
        <f t="shared" ref="B39:B57" si="24">$B$37</f>
        <v>1078</v>
      </c>
      <c r="C39" s="197">
        <f>'Costs &amp; Rate Impacts - All'!P$37</f>
        <v>83.047004720726193</v>
      </c>
      <c r="D39" s="198">
        <f t="shared" si="10"/>
        <v>0.14521547629955547</v>
      </c>
      <c r="E39" s="62">
        <f t="shared" si="16"/>
        <v>46.439430190234361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>$B39*$C$7*$E39/1000000</f>
        <v>60.074046894087175</v>
      </c>
      <c r="S39" s="22">
        <f t="shared" ref="S39:AJ39" si="25">$B39*$C$7*$E39/1000000*0.996^(S$26-$F$26)</f>
        <v>57.02408018796735</v>
      </c>
      <c r="T39" s="22">
        <f t="shared" si="25"/>
        <v>56.795983867215483</v>
      </c>
      <c r="U39" s="22">
        <f t="shared" si="25"/>
        <v>56.568799931746625</v>
      </c>
      <c r="V39" s="22">
        <f t="shared" si="25"/>
        <v>56.342524732019641</v>
      </c>
      <c r="W39" s="22">
        <f t="shared" si="25"/>
        <v>56.117154633091559</v>
      </c>
      <c r="X39" s="22">
        <f t="shared" si="25"/>
        <v>55.892686014559196</v>
      </c>
      <c r="Y39" s="22">
        <f t="shared" si="25"/>
        <v>55.669115270500953</v>
      </c>
      <c r="Z39" s="22">
        <f t="shared" si="25"/>
        <v>55.44643880941895</v>
      </c>
      <c r="AA39" s="22">
        <f t="shared" si="25"/>
        <v>55.224653054181275</v>
      </c>
      <c r="AB39" s="22">
        <f t="shared" si="25"/>
        <v>55.003754441964553</v>
      </c>
      <c r="AC39" s="22">
        <f t="shared" si="25"/>
        <v>54.783739424196696</v>
      </c>
      <c r="AD39" s="22">
        <f t="shared" si="25"/>
        <v>54.564604466499901</v>
      </c>
      <c r="AE39" s="22">
        <f t="shared" si="25"/>
        <v>54.346346048633905</v>
      </c>
      <c r="AF39" s="22">
        <f t="shared" si="25"/>
        <v>54.128960664439376</v>
      </c>
      <c r="AG39" s="22">
        <f t="shared" si="25"/>
        <v>53.912444821781612</v>
      </c>
      <c r="AH39" s="22">
        <f t="shared" si="25"/>
        <v>53.696795042494493</v>
      </c>
      <c r="AI39" s="22">
        <f t="shared" si="25"/>
        <v>53.482007862324508</v>
      </c>
      <c r="AJ39" s="201">
        <f t="shared" si="25"/>
        <v>53.268079830875216</v>
      </c>
      <c r="AK39" s="19"/>
    </row>
    <row r="40" spans="1:46" x14ac:dyDescent="0.25">
      <c r="A40" s="199">
        <f t="shared" si="12"/>
        <v>2033</v>
      </c>
      <c r="B40" s="80">
        <f t="shared" si="24"/>
        <v>1078</v>
      </c>
      <c r="C40" s="197">
        <f>'Costs &amp; Rate Impacts - All'!Q$37</f>
        <v>83.87747476793345</v>
      </c>
      <c r="D40" s="198">
        <f t="shared" si="10"/>
        <v>0.16063797207185959</v>
      </c>
      <c r="E40" s="62">
        <f t="shared" si="16"/>
        <v>44.117458680722642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f>$B40*$C$7*$E40/1000000</f>
        <v>57.070344549382803</v>
      </c>
      <c r="T40" s="22">
        <f t="shared" ref="T40:AJ40" si="26">$B40*$C$7*$E40/1000000*0.996^(T$26-$F$26)</f>
        <v>53.9561846738547</v>
      </c>
      <c r="U40" s="22">
        <f t="shared" si="26"/>
        <v>53.740359935159276</v>
      </c>
      <c r="V40" s="22">
        <f t="shared" si="26"/>
        <v>53.525398495418642</v>
      </c>
      <c r="W40" s="22">
        <f t="shared" si="26"/>
        <v>53.311296901436968</v>
      </c>
      <c r="X40" s="22">
        <f t="shared" si="26"/>
        <v>53.098051713831218</v>
      </c>
      <c r="Y40" s="22">
        <f t="shared" si="26"/>
        <v>52.885659506975891</v>
      </c>
      <c r="Z40" s="22">
        <f t="shared" si="26"/>
        <v>52.674116868947991</v>
      </c>
      <c r="AA40" s="22">
        <f t="shared" si="26"/>
        <v>52.463420401472199</v>
      </c>
      <c r="AB40" s="22">
        <f t="shared" si="26"/>
        <v>52.253566719866313</v>
      </c>
      <c r="AC40" s="22">
        <f t="shared" si="26"/>
        <v>52.044552452986849</v>
      </c>
      <c r="AD40" s="22">
        <f t="shared" si="26"/>
        <v>51.836374243174895</v>
      </c>
      <c r="AE40" s="22">
        <f t="shared" si="26"/>
        <v>51.629028746202202</v>
      </c>
      <c r="AF40" s="22">
        <f t="shared" si="26"/>
        <v>51.422512631217394</v>
      </c>
      <c r="AG40" s="22">
        <f t="shared" si="26"/>
        <v>51.216822580692522</v>
      </c>
      <c r="AH40" s="22">
        <f t="shared" si="26"/>
        <v>51.011955290369755</v>
      </c>
      <c r="AI40" s="22">
        <f t="shared" si="26"/>
        <v>50.807907469208267</v>
      </c>
      <c r="AJ40" s="201">
        <f t="shared" si="26"/>
        <v>50.604675839331442</v>
      </c>
      <c r="AK40" s="19"/>
      <c r="AL40" s="19"/>
    </row>
    <row r="41" spans="1:46" x14ac:dyDescent="0.25">
      <c r="A41" s="199">
        <f t="shared" si="12"/>
        <v>2034</v>
      </c>
      <c r="B41" s="80">
        <f t="shared" si="24"/>
        <v>1078</v>
      </c>
      <c r="C41" s="197">
        <f>'Costs &amp; Rate Impacts - All'!R$37</f>
        <v>84.716249515612787</v>
      </c>
      <c r="D41" s="198">
        <f t="shared" si="10"/>
        <v>0.17590776986622012</v>
      </c>
      <c r="E41" s="62">
        <f t="shared" si="16"/>
        <v>41.911585746686505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>
        <f>$B41*$C$7*$E41/1000000</f>
        <v>54.216827321913662</v>
      </c>
      <c r="U41" s="22">
        <f t="shared" ref="U41:AJ41" si="27">$B41*$C$7*$E41/1000000*0.996^(U$26-$F$26)</f>
        <v>51.053341938401317</v>
      </c>
      <c r="V41" s="22">
        <f t="shared" si="27"/>
        <v>50.849128570647714</v>
      </c>
      <c r="W41" s="22">
        <f t="shared" si="27"/>
        <v>50.645732056365119</v>
      </c>
      <c r="X41" s="22">
        <f t="shared" si="27"/>
        <v>50.443149128139659</v>
      </c>
      <c r="Y41" s="22">
        <f t="shared" si="27"/>
        <v>50.241376531627097</v>
      </c>
      <c r="Z41" s="22">
        <f t="shared" si="27"/>
        <v>50.040411025500589</v>
      </c>
      <c r="AA41" s="22">
        <f t="shared" si="27"/>
        <v>49.840249381398586</v>
      </c>
      <c r="AB41" s="22">
        <f t="shared" si="27"/>
        <v>49.640888383872998</v>
      </c>
      <c r="AC41" s="22">
        <f t="shared" si="27"/>
        <v>49.442324830337505</v>
      </c>
      <c r="AD41" s="22">
        <f t="shared" si="27"/>
        <v>49.244555531016154</v>
      </c>
      <c r="AE41" s="22">
        <f t="shared" si="27"/>
        <v>49.047577308892087</v>
      </c>
      <c r="AF41" s="22">
        <f t="shared" si="27"/>
        <v>48.851386999656526</v>
      </c>
      <c r="AG41" s="22">
        <f t="shared" si="27"/>
        <v>48.655981451657894</v>
      </c>
      <c r="AH41" s="22">
        <f t="shared" si="27"/>
        <v>48.461357525851263</v>
      </c>
      <c r="AI41" s="22">
        <f t="shared" si="27"/>
        <v>48.267512095747854</v>
      </c>
      <c r="AJ41" s="201">
        <f t="shared" si="27"/>
        <v>48.074442047364869</v>
      </c>
      <c r="AK41" s="19"/>
      <c r="AL41" s="19"/>
      <c r="AM41" s="19"/>
    </row>
    <row r="42" spans="1:46" x14ac:dyDescent="0.25">
      <c r="A42" s="199">
        <f t="shared" si="12"/>
        <v>2035</v>
      </c>
      <c r="B42" s="80">
        <f t="shared" si="24"/>
        <v>1078</v>
      </c>
      <c r="C42" s="197">
        <f>'Costs &amp; Rate Impacts - All'!S$37</f>
        <v>85.563412010768914</v>
      </c>
      <c r="D42" s="198">
        <f t="shared" si="10"/>
        <v>0.1910263815438048</v>
      </c>
      <c r="E42" s="62">
        <f t="shared" si="16"/>
        <v>39.816006459352181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>
        <f>$B42*$C$7*$E42/1000000</f>
        <v>51.505985955817984</v>
      </c>
      <c r="V42" s="22">
        <f t="shared" ref="V42:AJ42" si="28">$B42*$C$7*$E42/1000000*0.996^(V$26-$F$26)</f>
        <v>48.306672142115332</v>
      </c>
      <c r="W42" s="22">
        <f t="shared" si="28"/>
        <v>48.113445453546866</v>
      </c>
      <c r="X42" s="22">
        <f t="shared" si="28"/>
        <v>47.920991671732679</v>
      </c>
      <c r="Y42" s="22">
        <f t="shared" si="28"/>
        <v>47.729307705045748</v>
      </c>
      <c r="Z42" s="22">
        <f t="shared" si="28"/>
        <v>47.538390474225565</v>
      </c>
      <c r="AA42" s="22">
        <f t="shared" si="28"/>
        <v>47.348236912328659</v>
      </c>
      <c r="AB42" s="22">
        <f t="shared" si="28"/>
        <v>47.158843964679356</v>
      </c>
      <c r="AC42" s="22">
        <f t="shared" si="28"/>
        <v>46.970208588820633</v>
      </c>
      <c r="AD42" s="22">
        <f t="shared" si="28"/>
        <v>46.782327754465349</v>
      </c>
      <c r="AE42" s="22">
        <f t="shared" si="28"/>
        <v>46.595198443447487</v>
      </c>
      <c r="AF42" s="22">
        <f t="shared" si="28"/>
        <v>46.408817649673701</v>
      </c>
      <c r="AG42" s="22">
        <f t="shared" si="28"/>
        <v>46.223182379075006</v>
      </c>
      <c r="AH42" s="22">
        <f t="shared" si="28"/>
        <v>46.038289649558706</v>
      </c>
      <c r="AI42" s="22">
        <f t="shared" si="28"/>
        <v>45.854136490960471</v>
      </c>
      <c r="AJ42" s="201">
        <f t="shared" si="28"/>
        <v>45.670719944996634</v>
      </c>
      <c r="AK42" s="19"/>
      <c r="AL42" s="19"/>
      <c r="AM42" s="19"/>
      <c r="AN42" s="19"/>
    </row>
    <row r="43" spans="1:46" x14ac:dyDescent="0.25">
      <c r="A43" s="199">
        <f t="shared" si="12"/>
        <v>2036</v>
      </c>
      <c r="B43" s="80">
        <f t="shared" si="24"/>
        <v>1078</v>
      </c>
      <c r="C43" s="197">
        <f>'Costs &amp; Rate Impacts - All'!T$37</f>
        <v>86.419046130876609</v>
      </c>
      <c r="D43" s="198">
        <f t="shared" si="10"/>
        <v>0.20599530399685895</v>
      </c>
      <c r="E43" s="62">
        <f t="shared" si="16"/>
        <v>37.825206136384573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f>$B43*$C$7*$E43/1000000</f>
        <v>48.930686658027085</v>
      </c>
      <c r="W43" s="22">
        <f t="shared" ref="W43:AJ43" si="29">$B43*$C$7*$E43/1000000*0.996^(W$26-$F$26)</f>
        <v>45.707773180869523</v>
      </c>
      <c r="X43" s="22">
        <f t="shared" si="29"/>
        <v>45.524942088146048</v>
      </c>
      <c r="Y43" s="22">
        <f t="shared" si="29"/>
        <v>45.342842319793462</v>
      </c>
      <c r="Z43" s="22">
        <f t="shared" si="29"/>
        <v>45.161470950514286</v>
      </c>
      <c r="AA43" s="22">
        <f t="shared" si="29"/>
        <v>44.980825066712228</v>
      </c>
      <c r="AB43" s="22">
        <f t="shared" si="29"/>
        <v>44.800901766445385</v>
      </c>
      <c r="AC43" s="22">
        <f t="shared" si="29"/>
        <v>44.621698159379598</v>
      </c>
      <c r="AD43" s="22">
        <f t="shared" si="29"/>
        <v>44.443211366742084</v>
      </c>
      <c r="AE43" s="22">
        <f t="shared" si="29"/>
        <v>44.265438521275115</v>
      </c>
      <c r="AF43" s="22">
        <f t="shared" si="29"/>
        <v>44.08837676719002</v>
      </c>
      <c r="AG43" s="22">
        <f t="shared" si="29"/>
        <v>43.912023260121252</v>
      </c>
      <c r="AH43" s="22">
        <f t="shared" si="29"/>
        <v>43.736375167080773</v>
      </c>
      <c r="AI43" s="22">
        <f t="shared" si="29"/>
        <v>43.561429666412444</v>
      </c>
      <c r="AJ43" s="201">
        <f t="shared" si="29"/>
        <v>43.387183947746799</v>
      </c>
      <c r="AK43" s="19"/>
      <c r="AL43" s="19"/>
      <c r="AM43" s="19"/>
      <c r="AN43" s="19"/>
      <c r="AO43" s="19"/>
    </row>
    <row r="44" spans="1:46" x14ac:dyDescent="0.25">
      <c r="A44" s="199">
        <f t="shared" si="12"/>
        <v>2037</v>
      </c>
      <c r="B44" s="80">
        <f t="shared" si="24"/>
        <v>1078</v>
      </c>
      <c r="C44" s="197">
        <f>'Costs &amp; Rate Impacts - All'!U$37</f>
        <v>87.283236592185375</v>
      </c>
      <c r="D44" s="198">
        <f t="shared" si="10"/>
        <v>0.22081601929691255</v>
      </c>
      <c r="E44" s="62">
        <f t="shared" si="16"/>
        <v>35.933945829565346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>
        <f>$B44*$C$7*$E44/1000000</f>
        <v>46.484152325125734</v>
      </c>
      <c r="X44" s="22">
        <f t="shared" ref="X44:AJ44" si="30">$B44*$C$7*$E44/1000000*0.996^(X$26-$F$26)</f>
        <v>43.248694983738744</v>
      </c>
      <c r="Y44" s="22">
        <f t="shared" si="30"/>
        <v>43.075700203803791</v>
      </c>
      <c r="Z44" s="22">
        <f t="shared" si="30"/>
        <v>42.903397402988574</v>
      </c>
      <c r="AA44" s="22">
        <f t="shared" si="30"/>
        <v>42.731783813376623</v>
      </c>
      <c r="AB44" s="22">
        <f t="shared" si="30"/>
        <v>42.560856678123123</v>
      </c>
      <c r="AC44" s="22">
        <f t="shared" si="30"/>
        <v>42.390613251410628</v>
      </c>
      <c r="AD44" s="22">
        <f t="shared" si="30"/>
        <v>42.221050798404981</v>
      </c>
      <c r="AE44" s="22">
        <f t="shared" si="30"/>
        <v>42.052166595211361</v>
      </c>
      <c r="AF44" s="22">
        <f t="shared" si="30"/>
        <v>41.883957928830519</v>
      </c>
      <c r="AG44" s="22">
        <f t="shared" si="30"/>
        <v>41.716422097115192</v>
      </c>
      <c r="AH44" s="22">
        <f t="shared" si="30"/>
        <v>41.549556408726737</v>
      </c>
      <c r="AI44" s="22">
        <f t="shared" si="30"/>
        <v>41.383358183091829</v>
      </c>
      <c r="AJ44" s="201">
        <f t="shared" si="30"/>
        <v>41.217824750359462</v>
      </c>
      <c r="AK44" s="8"/>
      <c r="AL44" s="19"/>
      <c r="AM44" s="19"/>
      <c r="AN44" s="19"/>
      <c r="AO44" s="19"/>
      <c r="AP44" s="19"/>
    </row>
    <row r="45" spans="1:46" x14ac:dyDescent="0.25">
      <c r="A45" s="199">
        <f t="shared" si="12"/>
        <v>2038</v>
      </c>
      <c r="B45" s="80">
        <f t="shared" si="24"/>
        <v>1078</v>
      </c>
      <c r="C45" s="197">
        <f>'Costs &amp; Rate Impacts - All'!V$37</f>
        <v>88.156068958107227</v>
      </c>
      <c r="D45" s="198">
        <f t="shared" si="10"/>
        <v>0.23548999484152008</v>
      </c>
      <c r="E45" s="62">
        <f t="shared" si="16"/>
        <v>34.137248538087078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>
        <f>$B45*$C$7*$E45/1000000</f>
        <v>44.159944708869439</v>
      </c>
      <c r="Y45" s="22">
        <f t="shared" ref="Y45:AJ45" si="31">$B45*$C$7*$E45/1000000*0.996^(Y$26-$F$26)</f>
        <v>40.921915193613593</v>
      </c>
      <c r="Z45" s="22">
        <f t="shared" si="31"/>
        <v>40.758227532839143</v>
      </c>
      <c r="AA45" s="22">
        <f t="shared" si="31"/>
        <v>40.59519462270778</v>
      </c>
      <c r="AB45" s="22">
        <f t="shared" si="31"/>
        <v>40.432813844216959</v>
      </c>
      <c r="AC45" s="22">
        <f t="shared" si="31"/>
        <v>40.271082588840088</v>
      </c>
      <c r="AD45" s="22">
        <f t="shared" si="31"/>
        <v>40.109998258484723</v>
      </c>
      <c r="AE45" s="22">
        <f t="shared" si="31"/>
        <v>39.949558265450783</v>
      </c>
      <c r="AF45" s="22">
        <f t="shared" si="31"/>
        <v>39.789760032388983</v>
      </c>
      <c r="AG45" s="22">
        <f t="shared" si="31"/>
        <v>39.630600992259424</v>
      </c>
      <c r="AH45" s="22">
        <f t="shared" si="31"/>
        <v>39.472078588290394</v>
      </c>
      <c r="AI45" s="22">
        <f t="shared" si="31"/>
        <v>39.314190273937228</v>
      </c>
      <c r="AJ45" s="201">
        <f t="shared" si="31"/>
        <v>39.156933512841483</v>
      </c>
      <c r="AK45" s="8"/>
      <c r="AL45" s="8"/>
      <c r="AM45" s="19"/>
      <c r="AN45" s="19"/>
      <c r="AO45" s="19"/>
      <c r="AP45" s="19"/>
      <c r="AQ45" s="19"/>
    </row>
    <row r="46" spans="1:46" x14ac:dyDescent="0.25">
      <c r="A46" s="199">
        <f t="shared" si="12"/>
        <v>2039</v>
      </c>
      <c r="B46" s="80">
        <f t="shared" si="24"/>
        <v>1078</v>
      </c>
      <c r="C46" s="197">
        <f>'Costs &amp; Rate Impacts - All'!W$37</f>
        <v>89.037629647688306</v>
      </c>
      <c r="D46" s="198">
        <f t="shared" si="10"/>
        <v>0.25001868349954731</v>
      </c>
      <c r="E46" s="62">
        <f t="shared" si="16"/>
        <v>32.43038611118272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>
        <f>$B46*$C$7*$E46/1000000</f>
        <v>41.951947473425967</v>
      </c>
      <c r="Z46" s="22">
        <f t="shared" ref="Z46:AJ46" si="32">$B46*$C$7*$E46/1000000*0.996^(Z$26-$F$26)</f>
        <v>38.720316156197185</v>
      </c>
      <c r="AA46" s="22">
        <f t="shared" si="32"/>
        <v>38.565434891572394</v>
      </c>
      <c r="AB46" s="22">
        <f t="shared" si="32"/>
        <v>38.411173152006107</v>
      </c>
      <c r="AC46" s="22">
        <f t="shared" si="32"/>
        <v>38.257528459398081</v>
      </c>
      <c r="AD46" s="22">
        <f t="shared" si="32"/>
        <v>38.104498345560486</v>
      </c>
      <c r="AE46" s="22">
        <f t="shared" si="32"/>
        <v>37.95208035217825</v>
      </c>
      <c r="AF46" s="22">
        <f t="shared" si="32"/>
        <v>37.800272030769541</v>
      </c>
      <c r="AG46" s="22">
        <f t="shared" si="32"/>
        <v>37.649070942646453</v>
      </c>
      <c r="AH46" s="22">
        <f t="shared" si="32"/>
        <v>37.498474658875871</v>
      </c>
      <c r="AI46" s="22">
        <f t="shared" si="32"/>
        <v>37.348480760240363</v>
      </c>
      <c r="AJ46" s="201">
        <f t="shared" si="32"/>
        <v>37.19908683719941</v>
      </c>
      <c r="AK46" s="8"/>
      <c r="AL46" s="8"/>
      <c r="AM46" s="8"/>
      <c r="AN46" s="19"/>
      <c r="AO46" s="19"/>
      <c r="AP46" s="19"/>
      <c r="AQ46" s="19"/>
      <c r="AR46" s="19"/>
    </row>
    <row r="47" spans="1:46" x14ac:dyDescent="0.25">
      <c r="A47" s="199">
        <f t="shared" si="12"/>
        <v>2040</v>
      </c>
      <c r="B47" s="80">
        <f t="shared" si="24"/>
        <v>1078</v>
      </c>
      <c r="C47" s="197">
        <f>'Costs &amp; Rate Impacts - All'!X$37</f>
        <v>89.928005944165193</v>
      </c>
      <c r="D47" s="198">
        <f t="shared" si="10"/>
        <v>0.26440352375501985</v>
      </c>
      <c r="E47" s="62">
        <f t="shared" si="16"/>
        <v>30.808866805623584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>
        <f>$B47*$C$7*$E47/1000000</f>
        <v>39.854350099754669</v>
      </c>
      <c r="AA47" s="22">
        <f t="shared" ref="AA47:AJ47" si="33">$B47*$C$7*$E47/1000000*0.996^(AA$26-$F$26)</f>
        <v>36.637163146993771</v>
      </c>
      <c r="AB47" s="22">
        <f t="shared" si="33"/>
        <v>36.490614494405804</v>
      </c>
      <c r="AC47" s="22">
        <f t="shared" si="33"/>
        <v>36.34465203642818</v>
      </c>
      <c r="AD47" s="22">
        <f t="shared" si="33"/>
        <v>36.19927342828246</v>
      </c>
      <c r="AE47" s="22">
        <f t="shared" si="33"/>
        <v>36.054476334569337</v>
      </c>
      <c r="AF47" s="22">
        <f t="shared" si="33"/>
        <v>35.910258429231064</v>
      </c>
      <c r="AG47" s="22">
        <f t="shared" si="33"/>
        <v>35.766617395514132</v>
      </c>
      <c r="AH47" s="22">
        <f t="shared" si="33"/>
        <v>35.623550925932079</v>
      </c>
      <c r="AI47" s="22">
        <f t="shared" si="33"/>
        <v>35.481056722228345</v>
      </c>
      <c r="AJ47" s="201">
        <f t="shared" si="33"/>
        <v>35.339132495339442</v>
      </c>
      <c r="AK47" s="8"/>
      <c r="AL47" s="8"/>
      <c r="AM47" s="8"/>
      <c r="AN47" s="8"/>
      <c r="AO47" s="19"/>
      <c r="AP47" s="19"/>
      <c r="AQ47" s="19"/>
      <c r="AR47" s="19"/>
      <c r="AS47" s="19"/>
    </row>
    <row r="48" spans="1:46" x14ac:dyDescent="0.25">
      <c r="A48" s="199">
        <f t="shared" si="12"/>
        <v>2041</v>
      </c>
      <c r="B48" s="80">
        <f t="shared" si="24"/>
        <v>1078</v>
      </c>
      <c r="C48" s="197">
        <f>'Costs &amp; Rate Impacts - All'!Y$37</f>
        <v>90.827286003606844</v>
      </c>
      <c r="D48" s="198">
        <f t="shared" si="10"/>
        <v>0.27864593984954711</v>
      </c>
      <c r="E48" s="62">
        <f t="shared" si="16"/>
        <v>29.268423465342405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f>$B48*$C$7*$E48/1000000</f>
        <v>37.861632594766938</v>
      </c>
      <c r="AB48" s="22">
        <f t="shared" ref="AB48:AJ48" si="34">$B48*$C$7*$E48/1000000*0.996^(AB$26-$F$26)</f>
        <v>34.666083769685514</v>
      </c>
      <c r="AC48" s="22">
        <f t="shared" si="34"/>
        <v>34.52741943460677</v>
      </c>
      <c r="AD48" s="22">
        <f t="shared" si="34"/>
        <v>34.389309756868343</v>
      </c>
      <c r="AE48" s="22">
        <f t="shared" si="34"/>
        <v>34.25175251784087</v>
      </c>
      <c r="AF48" s="22">
        <f t="shared" si="34"/>
        <v>34.114745507769513</v>
      </c>
      <c r="AG48" s="22">
        <f t="shared" si="34"/>
        <v>33.978286525738426</v>
      </c>
      <c r="AH48" s="22">
        <f t="shared" si="34"/>
        <v>33.842373379635475</v>
      </c>
      <c r="AI48" s="22">
        <f t="shared" si="34"/>
        <v>33.707003886116929</v>
      </c>
      <c r="AJ48" s="201">
        <f t="shared" si="34"/>
        <v>33.572175870572465</v>
      </c>
      <c r="AK48" s="8"/>
      <c r="AL48" s="8"/>
      <c r="AM48" s="8"/>
      <c r="AN48" s="8"/>
      <c r="AO48" s="8"/>
      <c r="AP48" s="19"/>
      <c r="AQ48" s="19"/>
      <c r="AR48" s="19"/>
      <c r="AS48" s="19"/>
      <c r="AT48" s="19"/>
    </row>
    <row r="49" spans="1:55" x14ac:dyDescent="0.25">
      <c r="A49" s="199">
        <f t="shared" si="12"/>
        <v>2042</v>
      </c>
      <c r="B49" s="80">
        <f t="shared" si="24"/>
        <v>1078</v>
      </c>
      <c r="C49" s="197">
        <f>'Costs &amp; Rate Impacts - All'!Z$37</f>
        <v>91.735558863642908</v>
      </c>
      <c r="D49" s="198">
        <f t="shared" si="10"/>
        <v>0.29274734192333646</v>
      </c>
      <c r="E49" s="62">
        <f t="shared" si="16"/>
        <v>27.805002292075283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>
        <f>$B49*$C$7*$E49/1000000</f>
        <v>35.968550965028584</v>
      </c>
      <c r="AC49" s="22">
        <f t="shared" ref="AC49:AJ49" si="35">$B49*$C$7*$E49/1000000*0.996^(AC$26-$F$26)</f>
        <v>32.801048462876423</v>
      </c>
      <c r="AD49" s="22">
        <f t="shared" si="35"/>
        <v>32.669844269024921</v>
      </c>
      <c r="AE49" s="22">
        <f t="shared" si="35"/>
        <v>32.539164891948822</v>
      </c>
      <c r="AF49" s="22">
        <f t="shared" si="35"/>
        <v>32.409008232381026</v>
      </c>
      <c r="AG49" s="22">
        <f t="shared" si="35"/>
        <v>32.279372199451501</v>
      </c>
      <c r="AH49" s="22">
        <f t="shared" si="35"/>
        <v>32.150254710653698</v>
      </c>
      <c r="AI49" s="22">
        <f t="shared" si="35"/>
        <v>32.021653691811082</v>
      </c>
      <c r="AJ49" s="201">
        <f t="shared" si="35"/>
        <v>31.893567077043837</v>
      </c>
      <c r="AK49" s="8"/>
      <c r="AL49" s="8"/>
      <c r="AM49" s="8"/>
      <c r="AN49" s="8"/>
      <c r="AO49" s="8"/>
      <c r="AP49" s="8"/>
      <c r="AQ49" s="19"/>
      <c r="AR49" s="19"/>
      <c r="AS49" s="19"/>
      <c r="AT49" s="19"/>
      <c r="AU49" s="19"/>
    </row>
    <row r="50" spans="1:55" x14ac:dyDescent="0.25">
      <c r="A50" s="199">
        <f t="shared" si="12"/>
        <v>2043</v>
      </c>
      <c r="B50" s="80">
        <f t="shared" si="24"/>
        <v>1078</v>
      </c>
      <c r="C50" s="197">
        <f>'Costs &amp; Rate Impacts - All'!AA$37</f>
        <v>92.652914452279333</v>
      </c>
      <c r="D50" s="198">
        <f t="shared" si="10"/>
        <v>0.30670912615481105</v>
      </c>
      <c r="E50" s="62">
        <f t="shared" si="16"/>
        <v>26.414752177471517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>
        <f>$B50*$C$7*$E50/1000000</f>
        <v>34.170123416777159</v>
      </c>
      <c r="AD50" s="22">
        <f t="shared" ref="AD50:AJ50" si="36">$B50*$C$7*$E50/1000000*0.996^(AD$26-$F$26)</f>
        <v>31.036352055573676</v>
      </c>
      <c r="AE50" s="22">
        <f t="shared" si="36"/>
        <v>30.912206647351383</v>
      </c>
      <c r="AF50" s="22">
        <f t="shared" si="36"/>
        <v>30.78855782076198</v>
      </c>
      <c r="AG50" s="22">
        <f t="shared" si="36"/>
        <v>30.665403589478927</v>
      </c>
      <c r="AH50" s="22">
        <f t="shared" si="36"/>
        <v>30.542741975121015</v>
      </c>
      <c r="AI50" s="22">
        <f t="shared" si="36"/>
        <v>30.420571007220527</v>
      </c>
      <c r="AJ50" s="201">
        <f t="shared" si="36"/>
        <v>30.298888723191652</v>
      </c>
      <c r="AK50" s="8"/>
      <c r="AL50" s="8"/>
      <c r="AM50" s="8"/>
      <c r="AN50" s="8"/>
      <c r="AO50" s="8"/>
      <c r="AP50" s="8"/>
      <c r="AQ50" s="8"/>
      <c r="AR50" s="19"/>
      <c r="AS50" s="19"/>
      <c r="AT50" s="19"/>
      <c r="AU50" s="19"/>
      <c r="AV50" s="19"/>
    </row>
    <row r="51" spans="1:55" x14ac:dyDescent="0.25">
      <c r="A51" s="199">
        <f t="shared" si="12"/>
        <v>2044</v>
      </c>
      <c r="B51" s="80">
        <f t="shared" si="24"/>
        <v>1078</v>
      </c>
      <c r="C51" s="197">
        <f>'Costs &amp; Rate Impacts - All'!AB$37</f>
        <v>93.579443596802122</v>
      </c>
      <c r="D51" s="198">
        <f t="shared" si="10"/>
        <v>0.32053267489884535</v>
      </c>
      <c r="E51" s="62">
        <f t="shared" si="16"/>
        <v>25.094014568597938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>
        <f>$B51*$C$7*$E51/1000000</f>
        <v>32.461617245938292</v>
      </c>
      <c r="AE51" s="22">
        <f t="shared" ref="AE51:AJ51" si="37">$B51*$C$7*$E51/1000000*0.996^(AE$26-$F$26)</f>
        <v>29.366596314983806</v>
      </c>
      <c r="AF51" s="22">
        <f t="shared" si="37"/>
        <v>29.249129929723875</v>
      </c>
      <c r="AG51" s="22">
        <f t="shared" si="37"/>
        <v>29.132133410004975</v>
      </c>
      <c r="AH51" s="22">
        <f t="shared" si="37"/>
        <v>29.015604876364957</v>
      </c>
      <c r="AI51" s="22">
        <f t="shared" si="37"/>
        <v>28.899542456859496</v>
      </c>
      <c r="AJ51" s="201">
        <f t="shared" si="37"/>
        <v>28.78394428703206</v>
      </c>
      <c r="AK51" s="8"/>
      <c r="AL51" s="8"/>
      <c r="AM51" s="8"/>
      <c r="AN51" s="8"/>
      <c r="AO51" s="8"/>
      <c r="AP51" s="8"/>
      <c r="AQ51" s="8"/>
      <c r="AR51" s="8"/>
      <c r="AS51" s="19"/>
      <c r="AT51" s="19"/>
      <c r="AU51" s="19"/>
      <c r="AV51" s="19"/>
      <c r="AW51" s="19"/>
    </row>
    <row r="52" spans="1:55" x14ac:dyDescent="0.25">
      <c r="A52" s="199">
        <f t="shared" si="12"/>
        <v>2045</v>
      </c>
      <c r="B52" s="80">
        <f t="shared" si="24"/>
        <v>1078</v>
      </c>
      <c r="C52" s="197">
        <f>'Costs &amp; Rate Impacts - All'!AC$37</f>
        <v>94.515238032770142</v>
      </c>
      <c r="D52" s="198">
        <f t="shared" si="10"/>
        <v>0.33421935682363174</v>
      </c>
      <c r="E52" s="62">
        <f t="shared" si="16"/>
        <v>23.839313840168039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>
        <f>$B52*$C$7*$E52/1000000</f>
        <v>30.838536383641372</v>
      </c>
      <c r="AF52" s="22">
        <f>$B52*$C$7*$E52/1000000*0.996^(AF$26-$F$26)</f>
        <v>27.786673433237674</v>
      </c>
      <c r="AG52" s="22">
        <f>$B52*$C$7*$E52/1000000*0.996^(AG$26-$F$26)</f>
        <v>27.675526739504722</v>
      </c>
      <c r="AH52" s="22">
        <f>$B52*$C$7*$E52/1000000*0.996^(AH$26-$F$26)</f>
        <v>27.564824632546703</v>
      </c>
      <c r="AI52" s="22">
        <f>$B52*$C$7*$E52/1000000*0.996^(AI$26-$F$26)</f>
        <v>27.454565334016515</v>
      </c>
      <c r="AJ52" s="201">
        <f>$B52*$C$7*$E52/1000000*0.996^(AJ$26-$F$26)</f>
        <v>27.344747072680452</v>
      </c>
      <c r="AK52" s="8"/>
      <c r="AL52" s="8"/>
      <c r="AM52" s="8"/>
      <c r="AN52" s="8"/>
      <c r="AO52" s="8"/>
      <c r="AP52" s="8"/>
      <c r="AQ52" s="8"/>
      <c r="AR52" s="8"/>
      <c r="AS52" s="8"/>
      <c r="AT52" s="19"/>
      <c r="AU52" s="19"/>
      <c r="AV52" s="19"/>
      <c r="AW52" s="19"/>
      <c r="AX52" s="19"/>
    </row>
    <row r="53" spans="1:55" x14ac:dyDescent="0.25">
      <c r="A53" s="199">
        <f t="shared" si="12"/>
        <v>2046</v>
      </c>
      <c r="B53" s="80">
        <f t="shared" si="24"/>
        <v>1078</v>
      </c>
      <c r="C53" s="197">
        <f>'Costs &amp; Rate Impacts - All'!AD$37</f>
        <v>95.460390413097841</v>
      </c>
      <c r="D53" s="198">
        <f t="shared" si="10"/>
        <v>0.34777052704619255</v>
      </c>
      <c r="E53" s="62">
        <f t="shared" si="16"/>
        <v>22.647348148159637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>
        <f>$B53*$C$7*$E53/1000000</f>
        <v>29.296609564459306</v>
      </c>
      <c r="AG53" s="22">
        <f>$B53*$C$7*$E53/1000000*0.996^(AG$26-$F$26)</f>
        <v>26.291750402529487</v>
      </c>
      <c r="AH53" s="22">
        <f>$B53*$C$7*$E53/1000000*0.996^(AH$26-$F$26)</f>
        <v>26.186583400919371</v>
      </c>
      <c r="AI53" s="22">
        <f>$B53*$C$7*$E53/1000000*0.996^(AI$26-$F$26)</f>
        <v>26.081837067315693</v>
      </c>
      <c r="AJ53" s="201">
        <f>$B53*$C$7*$E53/1000000*0.996^(AJ$26-$F$26)</f>
        <v>25.977509719046431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19"/>
      <c r="AW53" s="19"/>
      <c r="AX53" s="19"/>
      <c r="AY53" s="19"/>
    </row>
    <row r="54" spans="1:55" x14ac:dyDescent="0.25">
      <c r="A54" s="199">
        <f t="shared" si="12"/>
        <v>2047</v>
      </c>
      <c r="B54" s="80">
        <f t="shared" si="24"/>
        <v>1078</v>
      </c>
      <c r="C54" s="197">
        <f>'Costs &amp; Rate Impacts - All'!AE$37</f>
        <v>96.414994317228818</v>
      </c>
      <c r="D54" s="198">
        <f t="shared" si="10"/>
        <v>0.36118752726654979</v>
      </c>
      <c r="E54" s="62">
        <f t="shared" si="16"/>
        <v>21.514980740751653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>
        <f>$B54*$C$7*$E54/1000000</f>
        <v>27.831779086236338</v>
      </c>
      <c r="AH54" s="22">
        <f>$B54*$C$7*$E54/1000000*0.996^(AH$26-$F$26)</f>
        <v>24.877254230873401</v>
      </c>
      <c r="AI54" s="22">
        <f>$B54*$C$7*$E54/1000000*0.996^(AI$26-$F$26)</f>
        <v>24.777745213949906</v>
      </c>
      <c r="AJ54" s="201">
        <f>$B54*$C$7*$E54/1000000*0.996^(AJ$26-$F$26)</f>
        <v>24.678634233094108</v>
      </c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19"/>
      <c r="AW54" s="19"/>
      <c r="AX54" s="19"/>
      <c r="AY54" s="19"/>
      <c r="AZ54" s="19"/>
    </row>
    <row r="55" spans="1:55" x14ac:dyDescent="0.25">
      <c r="A55" s="199">
        <f t="shared" si="12"/>
        <v>2048</v>
      </c>
      <c r="B55" s="80">
        <f t="shared" si="24"/>
        <v>1078</v>
      </c>
      <c r="C55" s="197">
        <f>'Costs &amp; Rate Impacts - All'!AF$37</f>
        <v>97.379144260401105</v>
      </c>
      <c r="D55" s="198">
        <f t="shared" si="10"/>
        <v>0.37447168590056684</v>
      </c>
      <c r="E55" s="62">
        <f t="shared" si="16"/>
        <v>20.439231703714071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>
        <f>$B55*$C$7*$E55/1000000</f>
        <v>26.440190131924521</v>
      </c>
      <c r="AI55" s="22">
        <f>$B55*$C$7*$E55/1000000*0.996^(AI$26-$F$26)</f>
        <v>23.53885795325241</v>
      </c>
      <c r="AJ55" s="201">
        <f>$B55*$C$7*$E55/1000000*0.996^(AJ$26-$F$26)</f>
        <v>23.444702521439403</v>
      </c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19"/>
      <c r="AX55" s="19"/>
      <c r="AY55" s="19"/>
      <c r="AZ55" s="19"/>
      <c r="BA55" s="19"/>
    </row>
    <row r="56" spans="1:55" x14ac:dyDescent="0.25">
      <c r="A56" s="199">
        <f t="shared" si="12"/>
        <v>2049</v>
      </c>
      <c r="B56" s="80">
        <f t="shared" si="24"/>
        <v>1078</v>
      </c>
      <c r="C56" s="197">
        <f>'Costs &amp; Rate Impacts - All'!AG$37</f>
        <v>98.352935703005116</v>
      </c>
      <c r="D56" s="198">
        <f t="shared" si="10"/>
        <v>0.38762431821147481</v>
      </c>
      <c r="E56" s="62">
        <f t="shared" si="16"/>
        <v>19.417270118528368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>
        <f>$B56*$C$7*$E56/1000000</f>
        <v>25.118180625328296</v>
      </c>
      <c r="AJ56" s="201">
        <f>$B56*$C$7*$E56/1000000*0.996^(AJ$26-$F$26)</f>
        <v>22.272467395367435</v>
      </c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19"/>
      <c r="AY56" s="19"/>
      <c r="AZ56" s="19"/>
      <c r="BA56" s="19"/>
      <c r="BB56" s="19"/>
    </row>
    <row r="57" spans="1:55" x14ac:dyDescent="0.25">
      <c r="A57" s="199">
        <f t="shared" si="12"/>
        <v>2050</v>
      </c>
      <c r="B57" s="80">
        <f t="shared" si="24"/>
        <v>1078</v>
      </c>
      <c r="C57" s="197">
        <f>'Costs &amp; Rate Impacts - All'!AH$37</f>
        <v>99.336465060035167</v>
      </c>
      <c r="D57" s="198">
        <f t="shared" si="10"/>
        <v>0.40064672644009658</v>
      </c>
      <c r="E57" s="62">
        <f t="shared" si="16"/>
        <v>18.446406612601947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01">
        <f>$B57*$C$7*$E57/1000000</f>
        <v>23.862271594061877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9"/>
      <c r="AZ57" s="19"/>
      <c r="BA57" s="19"/>
      <c r="BB57" s="19"/>
      <c r="BC57" s="19"/>
    </row>
    <row r="58" spans="1:55" ht="15.75" thickBot="1" x14ac:dyDescent="0.3">
      <c r="A58" s="202" t="s">
        <v>2</v>
      </c>
      <c r="B58" s="203">
        <f>SUM(B27:B57)</f>
        <v>29024</v>
      </c>
      <c r="C58" s="203"/>
      <c r="D58" s="203"/>
      <c r="E58" s="203"/>
      <c r="F58" s="237">
        <f>SUM(F27:F57)</f>
        <v>0</v>
      </c>
      <c r="G58" s="237">
        <f t="shared" ref="G58:AI58" si="38">SUM(G27:G57)</f>
        <v>0</v>
      </c>
      <c r="H58" s="237">
        <f t="shared" si="38"/>
        <v>43.956000000000003</v>
      </c>
      <c r="I58" s="237">
        <f t="shared" si="38"/>
        <v>108.23063507481601</v>
      </c>
      <c r="J58" s="237">
        <f t="shared" si="38"/>
        <v>170.61431676230552</v>
      </c>
      <c r="K58" s="237">
        <f t="shared" si="38"/>
        <v>232.68478496026384</v>
      </c>
      <c r="L58" s="237">
        <f t="shared" si="38"/>
        <v>294.55351289981445</v>
      </c>
      <c r="M58" s="237">
        <f t="shared" si="38"/>
        <v>356.31670560284414</v>
      </c>
      <c r="N58" s="237">
        <f t="shared" si="38"/>
        <v>418.18129446003167</v>
      </c>
      <c r="O58" s="237">
        <f t="shared" si="38"/>
        <v>480.24115698582978</v>
      </c>
      <c r="P58" s="237">
        <f t="shared" si="38"/>
        <v>542.56309891800242</v>
      </c>
      <c r="Q58" s="237">
        <f t="shared" si="38"/>
        <v>601.02400275468437</v>
      </c>
      <c r="R58" s="237">
        <f t="shared" si="38"/>
        <v>655.97747137637316</v>
      </c>
      <c r="S58" s="237">
        <f t="shared" si="38"/>
        <v>707.61423552170697</v>
      </c>
      <c r="T58" s="237">
        <f t="shared" si="38"/>
        <v>756.11472740420334</v>
      </c>
      <c r="U58" s="237">
        <f t="shared" si="38"/>
        <v>801.64963637617984</v>
      </c>
      <c r="V58" s="237">
        <f t="shared" si="38"/>
        <v>844.38043461882285</v>
      </c>
      <c r="W58" s="237">
        <f t="shared" si="38"/>
        <v>884.4598744749477</v>
      </c>
      <c r="X58" s="237">
        <f t="shared" si="38"/>
        <v>922.03245895383111</v>
      </c>
      <c r="Y58" s="237">
        <f t="shared" si="38"/>
        <v>957.23488685502105</v>
      </c>
      <c r="Z58" s="237">
        <f t="shared" si="38"/>
        <v>990.19647388002068</v>
      </c>
      <c r="AA58" s="237">
        <f t="shared" si="38"/>
        <v>1021.0395510269055</v>
      </c>
      <c r="AB58" s="237">
        <f t="shared" si="38"/>
        <v>1009.6337592787271</v>
      </c>
      <c r="AC58" s="237">
        <f t="shared" si="38"/>
        <v>977.64820896372385</v>
      </c>
      <c r="AD58" s="237">
        <f t="shared" si="38"/>
        <v>945.44585259071198</v>
      </c>
      <c r="AE58" s="237">
        <f t="shared" si="38"/>
        <v>911.85638458555513</v>
      </c>
      <c r="AF58" s="237">
        <f t="shared" si="38"/>
        <v>876.85710204619318</v>
      </c>
      <c r="AG58" s="237">
        <f t="shared" si="38"/>
        <v>840.44752140931246</v>
      </c>
      <c r="AH58" s="237">
        <f t="shared" si="38"/>
        <v>802.52388850431714</v>
      </c>
      <c r="AI58" s="237">
        <f t="shared" si="38"/>
        <v>763.07672964814697</v>
      </c>
      <c r="AJ58" s="238">
        <f t="shared" ref="AJ58" si="39">SUM(AJ27:AJ57)</f>
        <v>722.11865067945314</v>
      </c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5" ht="18" customHeight="1" x14ac:dyDescent="0.3">
      <c r="B59" s="14"/>
      <c r="C59" s="14"/>
      <c r="D59" s="14"/>
      <c r="E59" s="15"/>
      <c r="F59" s="12"/>
      <c r="G59" s="11"/>
      <c r="H59" s="11"/>
      <c r="I59" s="11"/>
      <c r="J59" s="11"/>
      <c r="K59" s="11"/>
      <c r="L59" s="11"/>
      <c r="M59" s="11"/>
      <c r="N59" s="13"/>
      <c r="O59" s="11"/>
      <c r="P59" s="11"/>
      <c r="Q59" s="11"/>
      <c r="R59" s="12"/>
      <c r="T59" s="11"/>
      <c r="U59" s="11"/>
      <c r="V59" s="11"/>
      <c r="W59" s="11"/>
      <c r="X59" s="11"/>
      <c r="Y59" s="11"/>
    </row>
    <row r="61" spans="1:55" ht="18.75" x14ac:dyDescent="0.3">
      <c r="A61" s="239" t="s">
        <v>77</v>
      </c>
      <c r="B61" s="240"/>
      <c r="F61" s="123"/>
      <c r="G61" s="124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</row>
    <row r="62" spans="1:55" ht="15.75" thickBot="1" x14ac:dyDescent="0.3">
      <c r="F62" t="s">
        <v>83</v>
      </c>
      <c r="G62" s="16"/>
      <c r="Z62"/>
      <c r="AA62" s="16"/>
      <c r="AB62"/>
      <c r="AC62"/>
      <c r="AD62"/>
      <c r="AE62"/>
      <c r="AF62"/>
    </row>
    <row r="63" spans="1:55" ht="32.25" thickBot="1" x14ac:dyDescent="0.3">
      <c r="A63" s="218" t="s">
        <v>0</v>
      </c>
      <c r="B63" s="219" t="s">
        <v>48</v>
      </c>
      <c r="C63" s="220" t="s">
        <v>53</v>
      </c>
      <c r="D63" s="220" t="s">
        <v>76</v>
      </c>
      <c r="E63" s="221"/>
      <c r="F63" s="222">
        <v>2020</v>
      </c>
      <c r="G63" s="222">
        <f>1+F63</f>
        <v>2021</v>
      </c>
      <c r="H63" s="222">
        <f t="shared" ref="H63" si="40">1+G63</f>
        <v>2022</v>
      </c>
      <c r="I63" s="222">
        <f t="shared" ref="I63" si="41">1+H63</f>
        <v>2023</v>
      </c>
      <c r="J63" s="222">
        <f t="shared" ref="J63" si="42">1+I63</f>
        <v>2024</v>
      </c>
      <c r="K63" s="222">
        <f t="shared" ref="K63" si="43">1+J63</f>
        <v>2025</v>
      </c>
      <c r="L63" s="222">
        <f t="shared" ref="L63" si="44">1+K63</f>
        <v>2026</v>
      </c>
      <c r="M63" s="222">
        <f t="shared" ref="M63" si="45">1+L63</f>
        <v>2027</v>
      </c>
      <c r="N63" s="222">
        <f t="shared" ref="N63" si="46">1+M63</f>
        <v>2028</v>
      </c>
      <c r="O63" s="222">
        <f t="shared" ref="O63" si="47">1+N63</f>
        <v>2029</v>
      </c>
      <c r="P63" s="222">
        <f t="shared" ref="P63" si="48">1+O63</f>
        <v>2030</v>
      </c>
      <c r="Q63" s="222">
        <f t="shared" ref="Q63" si="49">1+P63</f>
        <v>2031</v>
      </c>
      <c r="R63" s="222">
        <f t="shared" ref="R63" si="50">1+Q63</f>
        <v>2032</v>
      </c>
      <c r="S63" s="222">
        <f t="shared" ref="S63" si="51">1+R63</f>
        <v>2033</v>
      </c>
      <c r="T63" s="222">
        <f t="shared" ref="T63" si="52">1+S63</f>
        <v>2034</v>
      </c>
      <c r="U63" s="222">
        <f t="shared" ref="U63" si="53">1+T63</f>
        <v>2035</v>
      </c>
      <c r="V63" s="222">
        <f t="shared" ref="V63" si="54">1+U63</f>
        <v>2036</v>
      </c>
      <c r="W63" s="222">
        <f t="shared" ref="W63" si="55">1+V63</f>
        <v>2037</v>
      </c>
      <c r="X63" s="222">
        <f t="shared" ref="X63" si="56">1+W63</f>
        <v>2038</v>
      </c>
      <c r="Y63" s="222">
        <f t="shared" ref="Y63" si="57">1+X63</f>
        <v>2039</v>
      </c>
      <c r="Z63" s="222">
        <f t="shared" ref="Z63" si="58">1+Y63</f>
        <v>2040</v>
      </c>
      <c r="AA63" s="222">
        <f t="shared" ref="AA63" si="59">1+Z63</f>
        <v>2041</v>
      </c>
      <c r="AB63" s="222">
        <f t="shared" ref="AB63" si="60">1+AA63</f>
        <v>2042</v>
      </c>
      <c r="AC63" s="222">
        <f t="shared" ref="AC63" si="61">1+AB63</f>
        <v>2043</v>
      </c>
      <c r="AD63" s="222">
        <f t="shared" ref="AD63" si="62">1+AC63</f>
        <v>2044</v>
      </c>
      <c r="AE63" s="222">
        <f t="shared" ref="AE63" si="63">1+AD63</f>
        <v>2045</v>
      </c>
      <c r="AF63" s="222">
        <f t="shared" ref="AF63" si="64">1+AE63</f>
        <v>2046</v>
      </c>
      <c r="AG63" s="222">
        <f t="shared" ref="AG63" si="65">1+AF63</f>
        <v>2047</v>
      </c>
      <c r="AH63" s="222">
        <f t="shared" ref="AH63" si="66">1+AG63</f>
        <v>2048</v>
      </c>
      <c r="AI63" s="222">
        <f t="shared" ref="AI63" si="67">1+AH63</f>
        <v>2049</v>
      </c>
      <c r="AJ63" s="223">
        <f t="shared" ref="AJ63" si="68">1+AI63</f>
        <v>2050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5" x14ac:dyDescent="0.25">
      <c r="A64" s="211">
        <v>2020</v>
      </c>
      <c r="B64" s="212">
        <v>0</v>
      </c>
      <c r="C64" s="213">
        <f>'Costs &amp; Rate Impacts - All'!D$37</f>
        <v>73.7</v>
      </c>
      <c r="D64" s="214">
        <f>B64*$C$7/C64/1000000</f>
        <v>0</v>
      </c>
      <c r="E64" s="215"/>
      <c r="F64" s="215">
        <f>B64*$C$7</f>
        <v>0</v>
      </c>
      <c r="G64" s="216">
        <f t="shared" ref="G64:AJ65" si="69">F64*0.996</f>
        <v>0</v>
      </c>
      <c r="H64" s="216">
        <f t="shared" si="69"/>
        <v>0</v>
      </c>
      <c r="I64" s="216">
        <f t="shared" si="69"/>
        <v>0</v>
      </c>
      <c r="J64" s="216">
        <f t="shared" si="69"/>
        <v>0</v>
      </c>
      <c r="K64" s="216">
        <f t="shared" si="69"/>
        <v>0</v>
      </c>
      <c r="L64" s="216">
        <f t="shared" si="69"/>
        <v>0</v>
      </c>
      <c r="M64" s="216">
        <f t="shared" si="69"/>
        <v>0</v>
      </c>
      <c r="N64" s="216">
        <f t="shared" si="69"/>
        <v>0</v>
      </c>
      <c r="O64" s="216">
        <f t="shared" si="69"/>
        <v>0</v>
      </c>
      <c r="P64" s="216">
        <f t="shared" si="69"/>
        <v>0</v>
      </c>
      <c r="Q64" s="216">
        <f t="shared" si="69"/>
        <v>0</v>
      </c>
      <c r="R64" s="216">
        <f t="shared" si="69"/>
        <v>0</v>
      </c>
      <c r="S64" s="216">
        <f t="shared" si="69"/>
        <v>0</v>
      </c>
      <c r="T64" s="216">
        <f t="shared" si="69"/>
        <v>0</v>
      </c>
      <c r="U64" s="216">
        <f t="shared" si="69"/>
        <v>0</v>
      </c>
      <c r="V64" s="216">
        <f t="shared" si="69"/>
        <v>0</v>
      </c>
      <c r="W64" s="216">
        <f t="shared" si="69"/>
        <v>0</v>
      </c>
      <c r="X64" s="216">
        <f t="shared" si="69"/>
        <v>0</v>
      </c>
      <c r="Y64" s="216">
        <f t="shared" si="69"/>
        <v>0</v>
      </c>
      <c r="Z64" s="216">
        <f t="shared" si="69"/>
        <v>0</v>
      </c>
      <c r="AA64" s="216">
        <f t="shared" si="69"/>
        <v>0</v>
      </c>
      <c r="AB64" s="216">
        <f t="shared" si="69"/>
        <v>0</v>
      </c>
      <c r="AC64" s="216">
        <f t="shared" si="69"/>
        <v>0</v>
      </c>
      <c r="AD64" s="216">
        <f t="shared" si="69"/>
        <v>0</v>
      </c>
      <c r="AE64" s="216">
        <f t="shared" si="69"/>
        <v>0</v>
      </c>
      <c r="AF64" s="216">
        <f t="shared" si="69"/>
        <v>0</v>
      </c>
      <c r="AG64" s="216">
        <f t="shared" si="69"/>
        <v>0</v>
      </c>
      <c r="AH64" s="216">
        <f t="shared" si="69"/>
        <v>0</v>
      </c>
      <c r="AI64" s="216">
        <f t="shared" si="69"/>
        <v>0</v>
      </c>
      <c r="AJ64" s="217">
        <f t="shared" si="69"/>
        <v>0</v>
      </c>
    </row>
    <row r="65" spans="1:36" x14ac:dyDescent="0.25">
      <c r="A65" s="199">
        <f>1+A64</f>
        <v>2021</v>
      </c>
      <c r="B65" s="80">
        <v>0</v>
      </c>
      <c r="C65" s="197">
        <f>'Costs &amp; Rate Impacts - All'!E$37</f>
        <v>74.436999999999998</v>
      </c>
      <c r="D65" s="198">
        <f t="shared" ref="D65:D94" si="70">D64+B65*$C$7/C65/1000000</f>
        <v>0</v>
      </c>
      <c r="E65" s="21"/>
      <c r="F65" s="21"/>
      <c r="G65" s="21">
        <f>B65*$C$7</f>
        <v>0</v>
      </c>
      <c r="H65" s="206">
        <f>G65*0.996</f>
        <v>0</v>
      </c>
      <c r="I65" s="206">
        <f t="shared" ref="I65:X68" si="71">H65*0.996</f>
        <v>0</v>
      </c>
      <c r="J65" s="206">
        <f t="shared" si="71"/>
        <v>0</v>
      </c>
      <c r="K65" s="206">
        <f t="shared" si="71"/>
        <v>0</v>
      </c>
      <c r="L65" s="206">
        <f t="shared" si="71"/>
        <v>0</v>
      </c>
      <c r="M65" s="206">
        <f t="shared" si="71"/>
        <v>0</v>
      </c>
      <c r="N65" s="206">
        <f t="shared" si="71"/>
        <v>0</v>
      </c>
      <c r="O65" s="206">
        <f t="shared" si="71"/>
        <v>0</v>
      </c>
      <c r="P65" s="206">
        <f t="shared" si="71"/>
        <v>0</v>
      </c>
      <c r="Q65" s="206">
        <f t="shared" si="71"/>
        <v>0</v>
      </c>
      <c r="R65" s="206">
        <f t="shared" si="71"/>
        <v>0</v>
      </c>
      <c r="S65" s="206">
        <f t="shared" si="71"/>
        <v>0</v>
      </c>
      <c r="T65" s="206">
        <f t="shared" si="71"/>
        <v>0</v>
      </c>
      <c r="U65" s="206">
        <f t="shared" si="71"/>
        <v>0</v>
      </c>
      <c r="V65" s="206">
        <f t="shared" si="71"/>
        <v>0</v>
      </c>
      <c r="W65" s="206">
        <f t="shared" si="71"/>
        <v>0</v>
      </c>
      <c r="X65" s="206">
        <f t="shared" si="71"/>
        <v>0</v>
      </c>
      <c r="Y65" s="206">
        <f t="shared" si="69"/>
        <v>0</v>
      </c>
      <c r="Z65" s="206">
        <f t="shared" si="69"/>
        <v>0</v>
      </c>
      <c r="AA65" s="206">
        <f t="shared" si="69"/>
        <v>0</v>
      </c>
      <c r="AB65" s="206">
        <f t="shared" ref="AB65:AJ65" si="72">AA65*0.996</f>
        <v>0</v>
      </c>
      <c r="AC65" s="206">
        <f t="shared" si="72"/>
        <v>0</v>
      </c>
      <c r="AD65" s="206">
        <f t="shared" si="72"/>
        <v>0</v>
      </c>
      <c r="AE65" s="206">
        <f t="shared" si="72"/>
        <v>0</v>
      </c>
      <c r="AF65" s="206">
        <f t="shared" si="72"/>
        <v>0</v>
      </c>
      <c r="AG65" s="206">
        <f t="shared" si="72"/>
        <v>0</v>
      </c>
      <c r="AH65" s="206">
        <f t="shared" si="72"/>
        <v>0</v>
      </c>
      <c r="AI65" s="206">
        <f t="shared" si="72"/>
        <v>0</v>
      </c>
      <c r="AJ65" s="207">
        <f t="shared" si="72"/>
        <v>0</v>
      </c>
    </row>
    <row r="66" spans="1:36" x14ac:dyDescent="0.25">
      <c r="A66" s="199">
        <f t="shared" ref="A66:A94" si="73">1+A65</f>
        <v>2022</v>
      </c>
      <c r="B66" s="80">
        <v>407</v>
      </c>
      <c r="C66" s="197">
        <f>'Costs &amp; Rate Impacts - All'!F$37</f>
        <v>75.181370000000001</v>
      </c>
      <c r="D66" s="198">
        <f t="shared" si="70"/>
        <v>6.4962902378607884E-3</v>
      </c>
      <c r="E66" s="21"/>
      <c r="F66" s="21"/>
      <c r="G66" s="21"/>
      <c r="H66" s="21">
        <f>B66*$C$7</f>
        <v>488400</v>
      </c>
      <c r="I66" s="206">
        <f t="shared" si="71"/>
        <v>486446.4</v>
      </c>
      <c r="J66" s="206">
        <f t="shared" si="71"/>
        <v>484500.61440000002</v>
      </c>
      <c r="K66" s="206">
        <f t="shared" si="71"/>
        <v>482562.61194239999</v>
      </c>
      <c r="L66" s="206">
        <f t="shared" si="71"/>
        <v>480632.3614946304</v>
      </c>
      <c r="M66" s="206">
        <f t="shared" si="71"/>
        <v>478709.83204865188</v>
      </c>
      <c r="N66" s="206">
        <f t="shared" si="71"/>
        <v>476794.99272045726</v>
      </c>
      <c r="O66" s="206">
        <f t="shared" si="71"/>
        <v>474887.81274957542</v>
      </c>
      <c r="P66" s="206">
        <f t="shared" si="71"/>
        <v>472988.26149857714</v>
      </c>
      <c r="Q66" s="206">
        <f t="shared" si="71"/>
        <v>471096.3084525828</v>
      </c>
      <c r="R66" s="206">
        <f t="shared" si="71"/>
        <v>469211.92321877246</v>
      </c>
      <c r="S66" s="206">
        <f t="shared" si="71"/>
        <v>467335.07552589738</v>
      </c>
      <c r="T66" s="206">
        <f t="shared" si="71"/>
        <v>465465.73522379377</v>
      </c>
      <c r="U66" s="206">
        <f t="shared" si="71"/>
        <v>463603.87228289858</v>
      </c>
      <c r="V66" s="206">
        <f t="shared" si="71"/>
        <v>461749.45679376699</v>
      </c>
      <c r="W66" s="206">
        <f t="shared" si="71"/>
        <v>459902.45896659192</v>
      </c>
      <c r="X66" s="206">
        <f t="shared" ref="X66:AJ66" si="74">W66*0.996</f>
        <v>458062.84913072555</v>
      </c>
      <c r="Y66" s="206">
        <f t="shared" si="74"/>
        <v>456230.59773420263</v>
      </c>
      <c r="Z66" s="206">
        <f t="shared" si="74"/>
        <v>454405.67534326582</v>
      </c>
      <c r="AA66" s="206">
        <f t="shared" si="74"/>
        <v>452588.05264189275</v>
      </c>
      <c r="AB66" s="206">
        <f t="shared" si="74"/>
        <v>450777.70043132518</v>
      </c>
      <c r="AC66" s="206">
        <f t="shared" si="74"/>
        <v>448974.58962959988</v>
      </c>
      <c r="AD66" s="206">
        <f t="shared" si="74"/>
        <v>447178.69127108151</v>
      </c>
      <c r="AE66" s="206">
        <f t="shared" si="74"/>
        <v>445389.97650599718</v>
      </c>
      <c r="AF66" s="206">
        <f t="shared" si="74"/>
        <v>443608.41659997322</v>
      </c>
      <c r="AG66" s="206">
        <f t="shared" si="74"/>
        <v>441833.98293357331</v>
      </c>
      <c r="AH66" s="206">
        <f t="shared" si="74"/>
        <v>440066.64700183901</v>
      </c>
      <c r="AI66" s="206">
        <f t="shared" si="74"/>
        <v>438306.38041383168</v>
      </c>
      <c r="AJ66" s="207">
        <f t="shared" si="74"/>
        <v>436553.15489217633</v>
      </c>
    </row>
    <row r="67" spans="1:36" x14ac:dyDescent="0.25">
      <c r="A67" s="199">
        <f t="shared" si="73"/>
        <v>2023</v>
      </c>
      <c r="B67" s="80">
        <v>720</v>
      </c>
      <c r="C67" s="197">
        <f>'Costs &amp; Rate Impacts - All'!G$37</f>
        <v>75.933183700000001</v>
      </c>
      <c r="D67" s="198">
        <f t="shared" si="70"/>
        <v>1.7874714767161806E-2</v>
      </c>
      <c r="E67" s="21"/>
      <c r="F67" s="21"/>
      <c r="G67" s="21"/>
      <c r="H67" s="21"/>
      <c r="I67" s="21">
        <f>B67*$C$7</f>
        <v>864000</v>
      </c>
      <c r="J67" s="206">
        <f t="shared" ref="J67:X67" si="75">I67*0.996</f>
        <v>860544</v>
      </c>
      <c r="K67" s="206">
        <f t="shared" si="75"/>
        <v>857101.82400000002</v>
      </c>
      <c r="L67" s="206">
        <f t="shared" si="75"/>
        <v>853673.41670399997</v>
      </c>
      <c r="M67" s="206">
        <f t="shared" si="75"/>
        <v>850258.72303718398</v>
      </c>
      <c r="N67" s="206">
        <f t="shared" si="75"/>
        <v>846857.6881450353</v>
      </c>
      <c r="O67" s="206">
        <f t="shared" si="75"/>
        <v>843470.25739245513</v>
      </c>
      <c r="P67" s="206">
        <f t="shared" si="75"/>
        <v>840096.37636288535</v>
      </c>
      <c r="Q67" s="206">
        <f t="shared" si="75"/>
        <v>836735.99085743376</v>
      </c>
      <c r="R67" s="206">
        <f t="shared" si="75"/>
        <v>833389.04689400399</v>
      </c>
      <c r="S67" s="206">
        <f t="shared" si="75"/>
        <v>830055.49070642795</v>
      </c>
      <c r="T67" s="206">
        <f t="shared" si="75"/>
        <v>826735.26874360221</v>
      </c>
      <c r="U67" s="206">
        <f t="shared" si="75"/>
        <v>823428.32766862784</v>
      </c>
      <c r="V67" s="206">
        <f t="shared" si="75"/>
        <v>820134.61435795331</v>
      </c>
      <c r="W67" s="206">
        <f t="shared" si="75"/>
        <v>816854.07590052148</v>
      </c>
      <c r="X67" s="206">
        <f t="shared" si="75"/>
        <v>813586.65959691943</v>
      </c>
      <c r="Y67" s="206">
        <f t="shared" ref="Y67:AJ67" si="76">X67*0.996</f>
        <v>810332.31295853178</v>
      </c>
      <c r="Z67" s="206">
        <f t="shared" si="76"/>
        <v>807090.98370669771</v>
      </c>
      <c r="AA67" s="206">
        <f t="shared" si="76"/>
        <v>803862.6197718709</v>
      </c>
      <c r="AB67" s="206">
        <f t="shared" si="76"/>
        <v>800647.16929278336</v>
      </c>
      <c r="AC67" s="206">
        <f t="shared" si="76"/>
        <v>797444.58061561221</v>
      </c>
      <c r="AD67" s="206">
        <f t="shared" si="76"/>
        <v>794254.80229314975</v>
      </c>
      <c r="AE67" s="206">
        <f t="shared" si="76"/>
        <v>791077.78308397718</v>
      </c>
      <c r="AF67" s="206">
        <f t="shared" si="76"/>
        <v>787913.47195164126</v>
      </c>
      <c r="AG67" s="206">
        <f t="shared" si="76"/>
        <v>784761.81806383468</v>
      </c>
      <c r="AH67" s="206">
        <f t="shared" si="76"/>
        <v>781622.77079157939</v>
      </c>
      <c r="AI67" s="206">
        <f t="shared" si="76"/>
        <v>778496.27970841306</v>
      </c>
      <c r="AJ67" s="207">
        <f t="shared" si="76"/>
        <v>775382.29458957945</v>
      </c>
    </row>
    <row r="68" spans="1:36" x14ac:dyDescent="0.25">
      <c r="A68" s="199">
        <f t="shared" si="73"/>
        <v>2024</v>
      </c>
      <c r="B68" s="80">
        <v>757</v>
      </c>
      <c r="C68" s="197">
        <f>'Costs &amp; Rate Impacts - All'!H$37</f>
        <v>76.692515537000006</v>
      </c>
      <c r="D68" s="198">
        <f t="shared" si="70"/>
        <v>2.9719416869308214E-2</v>
      </c>
      <c r="E68" s="21"/>
      <c r="F68" s="21"/>
      <c r="G68" s="21"/>
      <c r="H68" s="21"/>
      <c r="I68" s="21"/>
      <c r="J68" s="21">
        <f>B68*$C$7</f>
        <v>908400</v>
      </c>
      <c r="K68" s="206">
        <f t="shared" si="71"/>
        <v>904766.4</v>
      </c>
      <c r="L68" s="206">
        <f t="shared" ref="L68" si="77">K68*0.996</f>
        <v>901147.33440000005</v>
      </c>
      <c r="M68" s="206">
        <f t="shared" ref="M68:N68" si="78">L68*0.996</f>
        <v>897542.7450624</v>
      </c>
      <c r="N68" s="206">
        <f t="shared" si="78"/>
        <v>893952.57408215036</v>
      </c>
      <c r="O68" s="206">
        <f t="shared" ref="O68:P68" si="79">N68*0.996</f>
        <v>890376.76378582173</v>
      </c>
      <c r="P68" s="206">
        <f t="shared" si="79"/>
        <v>886815.25673067849</v>
      </c>
      <c r="Q68" s="206">
        <f t="shared" ref="Q68:R68" si="80">P68*0.996</f>
        <v>883267.99570375576</v>
      </c>
      <c r="R68" s="206">
        <f t="shared" si="80"/>
        <v>879734.92372094071</v>
      </c>
      <c r="S68" s="206">
        <f t="shared" ref="S68:X68" si="81">R68*0.996</f>
        <v>876215.98402605695</v>
      </c>
      <c r="T68" s="206">
        <f t="shared" si="81"/>
        <v>872711.12008995272</v>
      </c>
      <c r="U68" s="206">
        <f t="shared" si="81"/>
        <v>869220.27560959291</v>
      </c>
      <c r="V68" s="206">
        <f t="shared" si="81"/>
        <v>865743.39450715459</v>
      </c>
      <c r="W68" s="206">
        <f t="shared" si="81"/>
        <v>862280.42092912598</v>
      </c>
      <c r="X68" s="206">
        <f t="shared" si="81"/>
        <v>858831.29924540943</v>
      </c>
      <c r="Y68" s="206">
        <f t="shared" ref="Y68:AJ68" si="82">X68*0.996</f>
        <v>855395.97404842777</v>
      </c>
      <c r="Z68" s="206">
        <f t="shared" si="82"/>
        <v>851974.390152234</v>
      </c>
      <c r="AA68" s="206">
        <f t="shared" si="82"/>
        <v>848566.49259162508</v>
      </c>
      <c r="AB68" s="206">
        <f t="shared" si="82"/>
        <v>845172.22662125854</v>
      </c>
      <c r="AC68" s="206">
        <f t="shared" si="82"/>
        <v>841791.53771477356</v>
      </c>
      <c r="AD68" s="206">
        <f t="shared" si="82"/>
        <v>838424.37156391446</v>
      </c>
      <c r="AE68" s="206">
        <f t="shared" si="82"/>
        <v>835070.6740776588</v>
      </c>
      <c r="AF68" s="206">
        <f t="shared" si="82"/>
        <v>831730.39138134813</v>
      </c>
      <c r="AG68" s="206">
        <f t="shared" si="82"/>
        <v>828403.46981582278</v>
      </c>
      <c r="AH68" s="206">
        <f t="shared" si="82"/>
        <v>825089.8559365595</v>
      </c>
      <c r="AI68" s="206">
        <f t="shared" si="82"/>
        <v>821789.49651281326</v>
      </c>
      <c r="AJ68" s="207">
        <f t="shared" si="82"/>
        <v>818502.33852676197</v>
      </c>
    </row>
    <row r="69" spans="1:36" x14ac:dyDescent="0.25">
      <c r="A69" s="199">
        <f t="shared" si="73"/>
        <v>2025</v>
      </c>
      <c r="B69" s="80">
        <v>799</v>
      </c>
      <c r="C69" s="197">
        <f>'Costs &amp; Rate Impacts - All'!I$37</f>
        <v>77.459440692370009</v>
      </c>
      <c r="D69" s="198">
        <f t="shared" si="70"/>
        <v>4.2097507795730883E-2</v>
      </c>
      <c r="E69" s="21"/>
      <c r="F69" s="21"/>
      <c r="G69" s="21"/>
      <c r="H69" s="21"/>
      <c r="I69" s="21"/>
      <c r="J69" s="21"/>
      <c r="K69" s="21">
        <f>B69*$C$7</f>
        <v>958800</v>
      </c>
      <c r="L69" s="206">
        <f t="shared" ref="L69" si="83">K69*0.996</f>
        <v>954964.8</v>
      </c>
      <c r="M69" s="206">
        <f t="shared" ref="M69:N69" si="84">L69*0.996</f>
        <v>951144.9408000001</v>
      </c>
      <c r="N69" s="206">
        <f t="shared" si="84"/>
        <v>947340.36103680008</v>
      </c>
      <c r="O69" s="206">
        <f t="shared" ref="O69:P69" si="85">N69*0.996</f>
        <v>943550.99959265289</v>
      </c>
      <c r="P69" s="206">
        <f t="shared" si="85"/>
        <v>939776.79559428233</v>
      </c>
      <c r="Q69" s="206">
        <f t="shared" ref="Q69:R69" si="86">P69*0.996</f>
        <v>936017.6884119052</v>
      </c>
      <c r="R69" s="206">
        <f t="shared" si="86"/>
        <v>932273.6176582576</v>
      </c>
      <c r="S69" s="206">
        <f t="shared" ref="S69:X69" si="87">R69*0.996</f>
        <v>928544.52318762452</v>
      </c>
      <c r="T69" s="206">
        <f t="shared" si="87"/>
        <v>924830.34509487404</v>
      </c>
      <c r="U69" s="206">
        <f t="shared" si="87"/>
        <v>921131.02371449454</v>
      </c>
      <c r="V69" s="206">
        <f t="shared" si="87"/>
        <v>917446.49961963657</v>
      </c>
      <c r="W69" s="206">
        <f t="shared" si="87"/>
        <v>913776.71362115804</v>
      </c>
      <c r="X69" s="206">
        <f t="shared" si="87"/>
        <v>910121.60676667339</v>
      </c>
      <c r="Y69" s="206">
        <f t="shared" ref="Y69:AJ69" si="88">X69*0.996</f>
        <v>906481.12033960666</v>
      </c>
      <c r="Z69" s="206">
        <f t="shared" si="88"/>
        <v>902855.19585824828</v>
      </c>
      <c r="AA69" s="206">
        <f t="shared" si="88"/>
        <v>899243.77507481526</v>
      </c>
      <c r="AB69" s="206">
        <f t="shared" si="88"/>
        <v>895646.79997451603</v>
      </c>
      <c r="AC69" s="206">
        <f t="shared" si="88"/>
        <v>892064.21277461795</v>
      </c>
      <c r="AD69" s="206">
        <f t="shared" si="88"/>
        <v>888495.95592351945</v>
      </c>
      <c r="AE69" s="206">
        <f t="shared" si="88"/>
        <v>884941.97209982539</v>
      </c>
      <c r="AF69" s="206">
        <f t="shared" si="88"/>
        <v>881402.20421142608</v>
      </c>
      <c r="AG69" s="206">
        <f t="shared" si="88"/>
        <v>877876.59539458039</v>
      </c>
      <c r="AH69" s="206">
        <f t="shared" si="88"/>
        <v>874365.08901300211</v>
      </c>
      <c r="AI69" s="206">
        <f t="shared" si="88"/>
        <v>870867.62865695008</v>
      </c>
      <c r="AJ69" s="207">
        <f t="shared" si="88"/>
        <v>867384.15814232233</v>
      </c>
    </row>
    <row r="70" spans="1:36" x14ac:dyDescent="0.25">
      <c r="A70" s="199">
        <f t="shared" si="73"/>
        <v>2026</v>
      </c>
      <c r="B70" s="80">
        <v>845</v>
      </c>
      <c r="C70" s="197">
        <f>'Costs &amp; Rate Impacts - All'!J$37</f>
        <v>78.234035099293706</v>
      </c>
      <c r="D70" s="198">
        <f t="shared" si="70"/>
        <v>5.5058618630843034E-2</v>
      </c>
      <c r="E70" s="21"/>
      <c r="F70" s="21"/>
      <c r="G70" s="21"/>
      <c r="H70" s="21"/>
      <c r="I70" s="21"/>
      <c r="J70" s="21"/>
      <c r="K70" s="21"/>
      <c r="L70" s="21">
        <f>B70*$C$7</f>
        <v>1014000</v>
      </c>
      <c r="M70" s="206">
        <f t="shared" ref="M70:N70" si="89">L70*0.996</f>
        <v>1009944</v>
      </c>
      <c r="N70" s="206">
        <f t="shared" si="89"/>
        <v>1005904.224</v>
      </c>
      <c r="O70" s="206">
        <f t="shared" ref="O70:P70" si="90">N70*0.996</f>
        <v>1001880.6071040001</v>
      </c>
      <c r="P70" s="206">
        <f t="shared" si="90"/>
        <v>997873.0846755841</v>
      </c>
      <c r="Q70" s="206">
        <f t="shared" ref="Q70:R70" si="91">P70*0.996</f>
        <v>993881.59233688179</v>
      </c>
      <c r="R70" s="206">
        <f t="shared" si="91"/>
        <v>989906.0659675342</v>
      </c>
      <c r="S70" s="206">
        <f t="shared" ref="S70:X70" si="92">R70*0.996</f>
        <v>985946.44170366402</v>
      </c>
      <c r="T70" s="206">
        <f t="shared" si="92"/>
        <v>982002.65593684942</v>
      </c>
      <c r="U70" s="206">
        <f t="shared" si="92"/>
        <v>978074.64531310205</v>
      </c>
      <c r="V70" s="206">
        <f t="shared" si="92"/>
        <v>974162.3467318496</v>
      </c>
      <c r="W70" s="206">
        <f t="shared" si="92"/>
        <v>970265.69734492223</v>
      </c>
      <c r="X70" s="206">
        <f t="shared" si="92"/>
        <v>966384.63455554249</v>
      </c>
      <c r="Y70" s="206">
        <f t="shared" ref="Y70:AJ70" si="93">X70*0.996</f>
        <v>962519.09601732029</v>
      </c>
      <c r="Z70" s="206">
        <f t="shared" si="93"/>
        <v>958669.01963325101</v>
      </c>
      <c r="AA70" s="206">
        <f t="shared" si="93"/>
        <v>954834.34355471795</v>
      </c>
      <c r="AB70" s="206">
        <f t="shared" si="93"/>
        <v>951015.0061804991</v>
      </c>
      <c r="AC70" s="206">
        <f t="shared" si="93"/>
        <v>947210.94615577708</v>
      </c>
      <c r="AD70" s="206">
        <f t="shared" si="93"/>
        <v>943422.102371154</v>
      </c>
      <c r="AE70" s="206">
        <f t="shared" si="93"/>
        <v>939648.41396166943</v>
      </c>
      <c r="AF70" s="206">
        <f t="shared" si="93"/>
        <v>935889.82030582277</v>
      </c>
      <c r="AG70" s="206">
        <f t="shared" si="93"/>
        <v>932146.26102459943</v>
      </c>
      <c r="AH70" s="206">
        <f t="shared" si="93"/>
        <v>928417.67598050099</v>
      </c>
      <c r="AI70" s="206">
        <f t="shared" si="93"/>
        <v>924704.00527657894</v>
      </c>
      <c r="AJ70" s="207">
        <f t="shared" si="93"/>
        <v>921005.18925547262</v>
      </c>
    </row>
    <row r="71" spans="1:36" x14ac:dyDescent="0.25">
      <c r="A71" s="199">
        <f t="shared" si="73"/>
        <v>2027</v>
      </c>
      <c r="B71" s="80">
        <v>895</v>
      </c>
      <c r="C71" s="197">
        <f>'Costs &amp; Rate Impacts - All'!K$37</f>
        <v>79.016375450286645</v>
      </c>
      <c r="D71" s="198">
        <f t="shared" si="70"/>
        <v>6.8650737908393419E-2</v>
      </c>
      <c r="E71" s="21"/>
      <c r="F71" s="21"/>
      <c r="G71" s="21"/>
      <c r="H71" s="21"/>
      <c r="I71" s="21"/>
      <c r="J71" s="21"/>
      <c r="K71" s="21"/>
      <c r="L71" s="21"/>
      <c r="M71" s="21">
        <f>B71*$C$7</f>
        <v>1074000</v>
      </c>
      <c r="N71" s="206">
        <f t="shared" ref="N71:O71" si="94">M71*0.996</f>
        <v>1069704</v>
      </c>
      <c r="O71" s="206">
        <f t="shared" si="94"/>
        <v>1065425.1839999999</v>
      </c>
      <c r="P71" s="206">
        <f t="shared" ref="P71:R71" si="95">O71*0.996</f>
        <v>1061163.4832639999</v>
      </c>
      <c r="Q71" s="206">
        <f t="shared" si="95"/>
        <v>1056918.829330944</v>
      </c>
      <c r="R71" s="206">
        <f t="shared" si="95"/>
        <v>1052691.1540136202</v>
      </c>
      <c r="S71" s="206">
        <f t="shared" ref="S71:X71" si="96">R71*0.996</f>
        <v>1048480.3893975657</v>
      </c>
      <c r="T71" s="206">
        <f t="shared" si="96"/>
        <v>1044286.4678399755</v>
      </c>
      <c r="U71" s="206">
        <f t="shared" si="96"/>
        <v>1040109.3219686156</v>
      </c>
      <c r="V71" s="206">
        <f t="shared" si="96"/>
        <v>1035948.8846807411</v>
      </c>
      <c r="W71" s="206">
        <f t="shared" si="96"/>
        <v>1031805.0891420181</v>
      </c>
      <c r="X71" s="206">
        <f t="shared" si="96"/>
        <v>1027677.86878545</v>
      </c>
      <c r="Y71" s="206">
        <f t="shared" ref="Y71:AJ71" si="97">X71*0.996</f>
        <v>1023567.1573103082</v>
      </c>
      <c r="Z71" s="206">
        <f t="shared" si="97"/>
        <v>1019472.8886810669</v>
      </c>
      <c r="AA71" s="206">
        <f t="shared" si="97"/>
        <v>1015394.9971263426</v>
      </c>
      <c r="AB71" s="206">
        <f t="shared" si="97"/>
        <v>1011333.4171378373</v>
      </c>
      <c r="AC71" s="206">
        <f t="shared" si="97"/>
        <v>1007288.0834692859</v>
      </c>
      <c r="AD71" s="206">
        <f t="shared" si="97"/>
        <v>1003258.9311354087</v>
      </c>
      <c r="AE71" s="206">
        <f t="shared" si="97"/>
        <v>999245.89541086706</v>
      </c>
      <c r="AF71" s="206">
        <f t="shared" si="97"/>
        <v>995248.91182922362</v>
      </c>
      <c r="AG71" s="206">
        <f t="shared" si="97"/>
        <v>991267.91618190671</v>
      </c>
      <c r="AH71" s="206">
        <f t="shared" si="97"/>
        <v>987302.84451717907</v>
      </c>
      <c r="AI71" s="206">
        <f t="shared" si="97"/>
        <v>983353.6331391104</v>
      </c>
      <c r="AJ71" s="207">
        <f t="shared" si="97"/>
        <v>979420.21860655397</v>
      </c>
    </row>
    <row r="72" spans="1:36" x14ac:dyDescent="0.25">
      <c r="A72" s="199">
        <f t="shared" si="73"/>
        <v>2028</v>
      </c>
      <c r="B72" s="80">
        <v>951</v>
      </c>
      <c r="C72" s="197">
        <f>'Costs &amp; Rate Impacts - All'!L$37</f>
        <v>79.806539204789516</v>
      </c>
      <c r="D72" s="198">
        <f t="shared" si="70"/>
        <v>8.2950318010114099E-2</v>
      </c>
      <c r="E72" s="21"/>
      <c r="F72" s="21"/>
      <c r="G72" s="21"/>
      <c r="H72" s="21"/>
      <c r="I72" s="21"/>
      <c r="J72" s="21"/>
      <c r="K72" s="21"/>
      <c r="L72" s="21"/>
      <c r="M72" s="21"/>
      <c r="N72" s="21">
        <f>B72*$C$7</f>
        <v>1141200</v>
      </c>
      <c r="O72" s="206">
        <f>N72*0.996</f>
        <v>1136635.2</v>
      </c>
      <c r="P72" s="206">
        <f t="shared" ref="P72:R72" si="98">O72*0.996</f>
        <v>1132088.6591999999</v>
      </c>
      <c r="Q72" s="206">
        <f t="shared" si="98"/>
        <v>1127560.3045631999</v>
      </c>
      <c r="R72" s="206">
        <f t="shared" si="98"/>
        <v>1123050.0633449471</v>
      </c>
      <c r="S72" s="206">
        <f t="shared" ref="S72:X72" si="99">R72*0.996</f>
        <v>1118557.8630915673</v>
      </c>
      <c r="T72" s="206">
        <f t="shared" si="99"/>
        <v>1114083.631639201</v>
      </c>
      <c r="U72" s="206">
        <f t="shared" si="99"/>
        <v>1109627.2971126442</v>
      </c>
      <c r="V72" s="206">
        <f t="shared" si="99"/>
        <v>1105188.7879241935</v>
      </c>
      <c r="W72" s="206">
        <f t="shared" si="99"/>
        <v>1100768.0327724968</v>
      </c>
      <c r="X72" s="206">
        <f t="shared" si="99"/>
        <v>1096364.9606414067</v>
      </c>
      <c r="Y72" s="206">
        <f t="shared" ref="Y72:AJ72" si="100">X72*0.996</f>
        <v>1091979.500798841</v>
      </c>
      <c r="Z72" s="206">
        <f t="shared" si="100"/>
        <v>1087611.5827956456</v>
      </c>
      <c r="AA72" s="206">
        <f t="shared" si="100"/>
        <v>1083261.1364644631</v>
      </c>
      <c r="AB72" s="206">
        <f t="shared" si="100"/>
        <v>1078928.0919186051</v>
      </c>
      <c r="AC72" s="206">
        <f t="shared" si="100"/>
        <v>1074612.3795509308</v>
      </c>
      <c r="AD72" s="206">
        <f t="shared" si="100"/>
        <v>1070313.9300327271</v>
      </c>
      <c r="AE72" s="206">
        <f t="shared" si="100"/>
        <v>1066032.6743125962</v>
      </c>
      <c r="AF72" s="206">
        <f t="shared" si="100"/>
        <v>1061768.5436153458</v>
      </c>
      <c r="AG72" s="206">
        <f t="shared" si="100"/>
        <v>1057521.4694408844</v>
      </c>
      <c r="AH72" s="206">
        <f t="shared" si="100"/>
        <v>1053291.3835631208</v>
      </c>
      <c r="AI72" s="206">
        <f t="shared" si="100"/>
        <v>1049078.2180288683</v>
      </c>
      <c r="AJ72" s="207">
        <f t="shared" si="100"/>
        <v>1044881.9051567528</v>
      </c>
    </row>
    <row r="73" spans="1:36" x14ac:dyDescent="0.25">
      <c r="A73" s="199">
        <f t="shared" si="73"/>
        <v>2029</v>
      </c>
      <c r="B73" s="80">
        <v>1012</v>
      </c>
      <c r="C73" s="197">
        <f>'Costs &amp; Rate Impacts - All'!M$37</f>
        <v>80.604604596837419</v>
      </c>
      <c r="D73" s="198">
        <f t="shared" si="70"/>
        <v>9.8016454815500129E-2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>
        <f>B73*$C$7</f>
        <v>1214400</v>
      </c>
      <c r="P73" s="206">
        <f t="shared" ref="P73:R73" si="101">O73*0.996</f>
        <v>1209542.3999999999</v>
      </c>
      <c r="Q73" s="206">
        <f t="shared" si="101"/>
        <v>1204704.2304</v>
      </c>
      <c r="R73" s="206">
        <f t="shared" si="101"/>
        <v>1199885.4134784001</v>
      </c>
      <c r="S73" s="206">
        <f t="shared" ref="S73:X73" si="102">R73*0.996</f>
        <v>1195085.8718244864</v>
      </c>
      <c r="T73" s="206">
        <f t="shared" si="102"/>
        <v>1190305.5283371885</v>
      </c>
      <c r="U73" s="206">
        <f t="shared" si="102"/>
        <v>1185544.3062238398</v>
      </c>
      <c r="V73" s="206">
        <f t="shared" si="102"/>
        <v>1180802.1289989443</v>
      </c>
      <c r="W73" s="206">
        <f t="shared" si="102"/>
        <v>1176078.9204829484</v>
      </c>
      <c r="X73" s="206">
        <f t="shared" si="102"/>
        <v>1171374.6048010166</v>
      </c>
      <c r="Y73" s="206">
        <f t="shared" ref="Y73:AJ73" si="103">X73*0.996</f>
        <v>1166689.1063818126</v>
      </c>
      <c r="Z73" s="206">
        <f t="shared" si="103"/>
        <v>1162022.3499562854</v>
      </c>
      <c r="AA73" s="206">
        <f t="shared" si="103"/>
        <v>1157374.2605564604</v>
      </c>
      <c r="AB73" s="206">
        <f t="shared" si="103"/>
        <v>1152744.7635142345</v>
      </c>
      <c r="AC73" s="206">
        <f t="shared" si="103"/>
        <v>1148133.7844601774</v>
      </c>
      <c r="AD73" s="206">
        <f t="shared" si="103"/>
        <v>1143541.2493223366</v>
      </c>
      <c r="AE73" s="206">
        <f t="shared" si="103"/>
        <v>1138967.0843250472</v>
      </c>
      <c r="AF73" s="206">
        <f t="shared" si="103"/>
        <v>1134411.2159877471</v>
      </c>
      <c r="AG73" s="206">
        <f t="shared" si="103"/>
        <v>1129873.571123796</v>
      </c>
      <c r="AH73" s="206">
        <f t="shared" si="103"/>
        <v>1125354.0768393008</v>
      </c>
      <c r="AI73" s="206">
        <f t="shared" si="103"/>
        <v>1120852.6605319437</v>
      </c>
      <c r="AJ73" s="207">
        <f t="shared" si="103"/>
        <v>1116369.2498898159</v>
      </c>
    </row>
    <row r="74" spans="1:36" x14ac:dyDescent="0.25">
      <c r="A74" s="199">
        <f t="shared" si="73"/>
        <v>2030</v>
      </c>
      <c r="B74" s="80">
        <v>1078</v>
      </c>
      <c r="C74" s="197">
        <f>'Costs &amp; Rate Impacts - All'!N$37</f>
        <v>81.410650642805791</v>
      </c>
      <c r="D74" s="198">
        <f t="shared" si="70"/>
        <v>0.11390626763220085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f>B74*$C$7</f>
        <v>1293600</v>
      </c>
      <c r="Q74" s="206">
        <f t="shared" ref="Q74:R74" si="104">P74*0.996</f>
        <v>1288425.6000000001</v>
      </c>
      <c r="R74" s="206">
        <f t="shared" si="104"/>
        <v>1283271.8976</v>
      </c>
      <c r="S74" s="206">
        <f t="shared" ref="S74:X74" si="105">R74*0.996</f>
        <v>1278138.8100096001</v>
      </c>
      <c r="T74" s="206">
        <f t="shared" si="105"/>
        <v>1273026.2547695618</v>
      </c>
      <c r="U74" s="206">
        <f t="shared" si="105"/>
        <v>1267934.1497504835</v>
      </c>
      <c r="V74" s="206">
        <f t="shared" si="105"/>
        <v>1262862.4131514814</v>
      </c>
      <c r="W74" s="206">
        <f t="shared" si="105"/>
        <v>1257810.9634988755</v>
      </c>
      <c r="X74" s="206">
        <f t="shared" si="105"/>
        <v>1252779.7196448799</v>
      </c>
      <c r="Y74" s="206">
        <f t="shared" ref="Y74:AJ74" si="106">X74*0.996</f>
        <v>1247768.6007663005</v>
      </c>
      <c r="Z74" s="206">
        <f t="shared" si="106"/>
        <v>1242777.5263632352</v>
      </c>
      <c r="AA74" s="206">
        <f t="shared" si="106"/>
        <v>1237806.4162577821</v>
      </c>
      <c r="AB74" s="206">
        <f t="shared" si="106"/>
        <v>1232855.1905927509</v>
      </c>
      <c r="AC74" s="206">
        <f t="shared" si="106"/>
        <v>1227923.7698303799</v>
      </c>
      <c r="AD74" s="206">
        <f t="shared" si="106"/>
        <v>1223012.0747510584</v>
      </c>
      <c r="AE74" s="206">
        <f t="shared" si="106"/>
        <v>1218120.026452054</v>
      </c>
      <c r="AF74" s="206">
        <f t="shared" si="106"/>
        <v>1213247.5463462458</v>
      </c>
      <c r="AG74" s="206">
        <f t="shared" si="106"/>
        <v>1208394.5561608609</v>
      </c>
      <c r="AH74" s="206">
        <f t="shared" si="106"/>
        <v>1203560.9779362176</v>
      </c>
      <c r="AI74" s="206">
        <f t="shared" si="106"/>
        <v>1198746.7340244728</v>
      </c>
      <c r="AJ74" s="207">
        <f t="shared" si="106"/>
        <v>1193951.7470883748</v>
      </c>
    </row>
    <row r="75" spans="1:36" x14ac:dyDescent="0.25">
      <c r="A75" s="199">
        <f t="shared" si="73"/>
        <v>2031</v>
      </c>
      <c r="B75" s="80">
        <f>$B$37</f>
        <v>1078</v>
      </c>
      <c r="C75" s="197">
        <f>'Costs &amp; Rate Impacts - All'!O$37</f>
        <v>82.224757149233852</v>
      </c>
      <c r="D75" s="198">
        <f t="shared" si="70"/>
        <v>0.12963875556952831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>
        <f>B75*$C$7</f>
        <v>1293600</v>
      </c>
      <c r="R75" s="206">
        <f>Q75*0.996</f>
        <v>1288425.6000000001</v>
      </c>
      <c r="S75" s="206">
        <f t="shared" ref="S75:X75" si="107">R75*0.996</f>
        <v>1283271.8976</v>
      </c>
      <c r="T75" s="206">
        <f t="shared" si="107"/>
        <v>1278138.8100096001</v>
      </c>
      <c r="U75" s="206">
        <f t="shared" si="107"/>
        <v>1273026.2547695618</v>
      </c>
      <c r="V75" s="206">
        <f t="shared" si="107"/>
        <v>1267934.1497504835</v>
      </c>
      <c r="W75" s="206">
        <f t="shared" si="107"/>
        <v>1262862.4131514814</v>
      </c>
      <c r="X75" s="206">
        <f t="shared" si="107"/>
        <v>1257810.9634988755</v>
      </c>
      <c r="Y75" s="206">
        <f t="shared" ref="Y75:AJ75" si="108">X75*0.996</f>
        <v>1252779.7196448799</v>
      </c>
      <c r="Z75" s="206">
        <f t="shared" si="108"/>
        <v>1247768.6007663005</v>
      </c>
      <c r="AA75" s="206">
        <f t="shared" si="108"/>
        <v>1242777.5263632352</v>
      </c>
      <c r="AB75" s="206">
        <f t="shared" si="108"/>
        <v>1237806.4162577821</v>
      </c>
      <c r="AC75" s="206">
        <f t="shared" si="108"/>
        <v>1232855.1905927509</v>
      </c>
      <c r="AD75" s="206">
        <f t="shared" si="108"/>
        <v>1227923.7698303799</v>
      </c>
      <c r="AE75" s="206">
        <f t="shared" si="108"/>
        <v>1223012.0747510584</v>
      </c>
      <c r="AF75" s="206">
        <f t="shared" si="108"/>
        <v>1218120.026452054</v>
      </c>
      <c r="AG75" s="206">
        <f t="shared" si="108"/>
        <v>1213247.5463462458</v>
      </c>
      <c r="AH75" s="206">
        <f t="shared" si="108"/>
        <v>1208394.5561608609</v>
      </c>
      <c r="AI75" s="206">
        <f t="shared" si="108"/>
        <v>1203560.9779362176</v>
      </c>
      <c r="AJ75" s="207">
        <f t="shared" si="108"/>
        <v>1198746.7340244728</v>
      </c>
    </row>
    <row r="76" spans="1:36" x14ac:dyDescent="0.25">
      <c r="A76" s="199">
        <f t="shared" si="73"/>
        <v>2032</v>
      </c>
      <c r="B76" s="80">
        <f t="shared" ref="B76:B94" si="109">$B$37</f>
        <v>1078</v>
      </c>
      <c r="C76" s="197">
        <f>'Costs &amp; Rate Impacts - All'!P$37</f>
        <v>83.047004720726193</v>
      </c>
      <c r="D76" s="198">
        <f t="shared" si="70"/>
        <v>0.14521547629955547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>
        <f>B76*$C$7</f>
        <v>1293600</v>
      </c>
      <c r="S76" s="206">
        <f t="shared" ref="S76:X76" si="110">R76*0.996</f>
        <v>1288425.6000000001</v>
      </c>
      <c r="T76" s="206">
        <f t="shared" si="110"/>
        <v>1283271.8976</v>
      </c>
      <c r="U76" s="206">
        <f t="shared" si="110"/>
        <v>1278138.8100096001</v>
      </c>
      <c r="V76" s="206">
        <f t="shared" si="110"/>
        <v>1273026.2547695618</v>
      </c>
      <c r="W76" s="206">
        <f t="shared" si="110"/>
        <v>1267934.1497504835</v>
      </c>
      <c r="X76" s="206">
        <f t="shared" si="110"/>
        <v>1262862.4131514814</v>
      </c>
      <c r="Y76" s="206">
        <f t="shared" ref="Y76:AJ76" si="111">X76*0.996</f>
        <v>1257810.9634988755</v>
      </c>
      <c r="Z76" s="206">
        <f t="shared" si="111"/>
        <v>1252779.7196448799</v>
      </c>
      <c r="AA76" s="206">
        <f t="shared" si="111"/>
        <v>1247768.6007663005</v>
      </c>
      <c r="AB76" s="206">
        <f t="shared" si="111"/>
        <v>1242777.5263632352</v>
      </c>
      <c r="AC76" s="206">
        <f t="shared" si="111"/>
        <v>1237806.4162577821</v>
      </c>
      <c r="AD76" s="206">
        <f t="shared" si="111"/>
        <v>1232855.1905927509</v>
      </c>
      <c r="AE76" s="206">
        <f t="shared" si="111"/>
        <v>1227923.7698303799</v>
      </c>
      <c r="AF76" s="206">
        <f t="shared" si="111"/>
        <v>1223012.0747510584</v>
      </c>
      <c r="AG76" s="206">
        <f t="shared" si="111"/>
        <v>1218120.026452054</v>
      </c>
      <c r="AH76" s="206">
        <f t="shared" si="111"/>
        <v>1213247.5463462458</v>
      </c>
      <c r="AI76" s="206">
        <f t="shared" si="111"/>
        <v>1208394.5561608609</v>
      </c>
      <c r="AJ76" s="207">
        <f t="shared" si="111"/>
        <v>1203560.9779362176</v>
      </c>
    </row>
    <row r="77" spans="1:36" x14ac:dyDescent="0.25">
      <c r="A77" s="199">
        <f t="shared" si="73"/>
        <v>2033</v>
      </c>
      <c r="B77" s="80">
        <f t="shared" si="109"/>
        <v>1078</v>
      </c>
      <c r="C77" s="197">
        <f>'Costs &amp; Rate Impacts - All'!Q$37</f>
        <v>83.87747476793345</v>
      </c>
      <c r="D77" s="198">
        <f t="shared" si="70"/>
        <v>0.16063797207185959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>
        <f>B77*$C$7</f>
        <v>1293600</v>
      </c>
      <c r="T77" s="206">
        <f>S77*0.996</f>
        <v>1288425.6000000001</v>
      </c>
      <c r="U77" s="206">
        <f t="shared" ref="U77:W77" si="112">T77*0.996</f>
        <v>1283271.8976</v>
      </c>
      <c r="V77" s="206">
        <f t="shared" si="112"/>
        <v>1278138.8100096001</v>
      </c>
      <c r="W77" s="206">
        <f t="shared" si="112"/>
        <v>1273026.2547695618</v>
      </c>
      <c r="X77" s="206">
        <f t="shared" ref="X77:AJ77" si="113">W77*0.996</f>
        <v>1267934.1497504835</v>
      </c>
      <c r="Y77" s="206">
        <f t="shared" si="113"/>
        <v>1262862.4131514814</v>
      </c>
      <c r="Z77" s="206">
        <f t="shared" si="113"/>
        <v>1257810.9634988755</v>
      </c>
      <c r="AA77" s="206">
        <f t="shared" si="113"/>
        <v>1252779.7196448799</v>
      </c>
      <c r="AB77" s="206">
        <f t="shared" si="113"/>
        <v>1247768.6007663005</v>
      </c>
      <c r="AC77" s="206">
        <f t="shared" si="113"/>
        <v>1242777.5263632352</v>
      </c>
      <c r="AD77" s="206">
        <f t="shared" si="113"/>
        <v>1237806.4162577821</v>
      </c>
      <c r="AE77" s="206">
        <f t="shared" si="113"/>
        <v>1232855.1905927509</v>
      </c>
      <c r="AF77" s="206">
        <f t="shared" si="113"/>
        <v>1227923.7698303799</v>
      </c>
      <c r="AG77" s="206">
        <f t="shared" si="113"/>
        <v>1223012.0747510584</v>
      </c>
      <c r="AH77" s="206">
        <f t="shared" si="113"/>
        <v>1218120.026452054</v>
      </c>
      <c r="AI77" s="206">
        <f t="shared" si="113"/>
        <v>1213247.5463462458</v>
      </c>
      <c r="AJ77" s="207">
        <f t="shared" si="113"/>
        <v>1208394.5561608609</v>
      </c>
    </row>
    <row r="78" spans="1:36" x14ac:dyDescent="0.25">
      <c r="A78" s="199">
        <f t="shared" si="73"/>
        <v>2034</v>
      </c>
      <c r="B78" s="80">
        <f t="shared" si="109"/>
        <v>1078</v>
      </c>
      <c r="C78" s="197">
        <f>'Costs &amp; Rate Impacts - All'!R$37</f>
        <v>84.716249515612787</v>
      </c>
      <c r="D78" s="198">
        <f t="shared" si="70"/>
        <v>0.17590776986622012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>
        <f>B78*$C$7</f>
        <v>1293600</v>
      </c>
      <c r="U78" s="206">
        <f t="shared" ref="U78:W78" si="114">T78*0.996</f>
        <v>1288425.6000000001</v>
      </c>
      <c r="V78" s="206">
        <f t="shared" si="114"/>
        <v>1283271.8976</v>
      </c>
      <c r="W78" s="206">
        <f t="shared" si="114"/>
        <v>1278138.8100096001</v>
      </c>
      <c r="X78" s="206">
        <f t="shared" ref="X78:AJ78" si="115">W78*0.996</f>
        <v>1273026.2547695618</v>
      </c>
      <c r="Y78" s="206">
        <f t="shared" si="115"/>
        <v>1267934.1497504835</v>
      </c>
      <c r="Z78" s="206">
        <f t="shared" si="115"/>
        <v>1262862.4131514814</v>
      </c>
      <c r="AA78" s="206">
        <f t="shared" si="115"/>
        <v>1257810.9634988755</v>
      </c>
      <c r="AB78" s="206">
        <f t="shared" si="115"/>
        <v>1252779.7196448799</v>
      </c>
      <c r="AC78" s="206">
        <f t="shared" si="115"/>
        <v>1247768.6007663005</v>
      </c>
      <c r="AD78" s="206">
        <f t="shared" si="115"/>
        <v>1242777.5263632352</v>
      </c>
      <c r="AE78" s="206">
        <f t="shared" si="115"/>
        <v>1237806.4162577821</v>
      </c>
      <c r="AF78" s="206">
        <f t="shared" si="115"/>
        <v>1232855.1905927509</v>
      </c>
      <c r="AG78" s="206">
        <f t="shared" si="115"/>
        <v>1227923.7698303799</v>
      </c>
      <c r="AH78" s="206">
        <f t="shared" si="115"/>
        <v>1223012.0747510584</v>
      </c>
      <c r="AI78" s="206">
        <f t="shared" si="115"/>
        <v>1218120.026452054</v>
      </c>
      <c r="AJ78" s="207">
        <f t="shared" si="115"/>
        <v>1213247.5463462458</v>
      </c>
    </row>
    <row r="79" spans="1:36" x14ac:dyDescent="0.25">
      <c r="A79" s="199">
        <f t="shared" si="73"/>
        <v>2035</v>
      </c>
      <c r="B79" s="80">
        <f t="shared" si="109"/>
        <v>1078</v>
      </c>
      <c r="C79" s="197">
        <f>'Costs &amp; Rate Impacts - All'!S$37</f>
        <v>85.563412010768914</v>
      </c>
      <c r="D79" s="198">
        <f t="shared" si="70"/>
        <v>0.1910263815438048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>
        <f>B79*$C$7</f>
        <v>1293600</v>
      </c>
      <c r="V79" s="206">
        <f t="shared" ref="V79:W79" si="116">U79*0.996</f>
        <v>1288425.6000000001</v>
      </c>
      <c r="W79" s="206">
        <f t="shared" si="116"/>
        <v>1283271.8976</v>
      </c>
      <c r="X79" s="206">
        <f t="shared" ref="X79:AJ79" si="117">W79*0.996</f>
        <v>1278138.8100096001</v>
      </c>
      <c r="Y79" s="206">
        <f t="shared" si="117"/>
        <v>1273026.2547695618</v>
      </c>
      <c r="Z79" s="206">
        <f t="shared" si="117"/>
        <v>1267934.1497504835</v>
      </c>
      <c r="AA79" s="206">
        <f t="shared" si="117"/>
        <v>1262862.4131514814</v>
      </c>
      <c r="AB79" s="206">
        <f t="shared" si="117"/>
        <v>1257810.9634988755</v>
      </c>
      <c r="AC79" s="206">
        <f t="shared" si="117"/>
        <v>1252779.7196448799</v>
      </c>
      <c r="AD79" s="206">
        <f t="shared" si="117"/>
        <v>1247768.6007663005</v>
      </c>
      <c r="AE79" s="206">
        <f t="shared" si="117"/>
        <v>1242777.5263632352</v>
      </c>
      <c r="AF79" s="206">
        <f t="shared" si="117"/>
        <v>1237806.4162577821</v>
      </c>
      <c r="AG79" s="206">
        <f t="shared" si="117"/>
        <v>1232855.1905927509</v>
      </c>
      <c r="AH79" s="206">
        <f t="shared" si="117"/>
        <v>1227923.7698303799</v>
      </c>
      <c r="AI79" s="206">
        <f t="shared" si="117"/>
        <v>1223012.0747510584</v>
      </c>
      <c r="AJ79" s="207">
        <f t="shared" si="117"/>
        <v>1218120.026452054</v>
      </c>
    </row>
    <row r="80" spans="1:36" x14ac:dyDescent="0.25">
      <c r="A80" s="199">
        <f t="shared" si="73"/>
        <v>2036</v>
      </c>
      <c r="B80" s="80">
        <f t="shared" si="109"/>
        <v>1078</v>
      </c>
      <c r="C80" s="197">
        <f>'Costs &amp; Rate Impacts - All'!T$37</f>
        <v>86.419046130876609</v>
      </c>
      <c r="D80" s="198">
        <f t="shared" si="70"/>
        <v>0.20599530399685895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f>B80*$C$7</f>
        <v>1293600</v>
      </c>
      <c r="W80" s="206">
        <f>V80*0.996</f>
        <v>1288425.6000000001</v>
      </c>
      <c r="X80" s="206">
        <f t="shared" ref="X80:AJ80" si="118">W80*0.996</f>
        <v>1283271.8976</v>
      </c>
      <c r="Y80" s="206">
        <f t="shared" si="118"/>
        <v>1278138.8100096001</v>
      </c>
      <c r="Z80" s="206">
        <f t="shared" si="118"/>
        <v>1273026.2547695618</v>
      </c>
      <c r="AA80" s="206">
        <f t="shared" si="118"/>
        <v>1267934.1497504835</v>
      </c>
      <c r="AB80" s="206">
        <f t="shared" si="118"/>
        <v>1262862.4131514814</v>
      </c>
      <c r="AC80" s="206">
        <f t="shared" si="118"/>
        <v>1257810.9634988755</v>
      </c>
      <c r="AD80" s="206">
        <f t="shared" si="118"/>
        <v>1252779.7196448799</v>
      </c>
      <c r="AE80" s="206">
        <f t="shared" si="118"/>
        <v>1247768.6007663005</v>
      </c>
      <c r="AF80" s="206">
        <f t="shared" si="118"/>
        <v>1242777.5263632352</v>
      </c>
      <c r="AG80" s="206">
        <f t="shared" si="118"/>
        <v>1237806.4162577821</v>
      </c>
      <c r="AH80" s="206">
        <f t="shared" si="118"/>
        <v>1232855.1905927509</v>
      </c>
      <c r="AI80" s="206">
        <f t="shared" si="118"/>
        <v>1227923.7698303799</v>
      </c>
      <c r="AJ80" s="207">
        <f t="shared" si="118"/>
        <v>1223012.0747510584</v>
      </c>
    </row>
    <row r="81" spans="1:36" x14ac:dyDescent="0.25">
      <c r="A81" s="199">
        <f t="shared" si="73"/>
        <v>2037</v>
      </c>
      <c r="B81" s="80">
        <f t="shared" si="109"/>
        <v>1078</v>
      </c>
      <c r="C81" s="197">
        <f>'Costs &amp; Rate Impacts - All'!U$37</f>
        <v>87.283236592185375</v>
      </c>
      <c r="D81" s="198">
        <f t="shared" si="70"/>
        <v>0.22081601929691255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f>B81*$C$7</f>
        <v>1293600</v>
      </c>
      <c r="X81" s="206">
        <f t="shared" ref="X81:AJ81" si="119">W81*0.996</f>
        <v>1288425.6000000001</v>
      </c>
      <c r="Y81" s="206">
        <f t="shared" si="119"/>
        <v>1283271.8976</v>
      </c>
      <c r="Z81" s="206">
        <f t="shared" si="119"/>
        <v>1278138.8100096001</v>
      </c>
      <c r="AA81" s="206">
        <f t="shared" si="119"/>
        <v>1273026.2547695618</v>
      </c>
      <c r="AB81" s="206">
        <f t="shared" si="119"/>
        <v>1267934.1497504835</v>
      </c>
      <c r="AC81" s="206">
        <f t="shared" si="119"/>
        <v>1262862.4131514814</v>
      </c>
      <c r="AD81" s="206">
        <f t="shared" si="119"/>
        <v>1257810.9634988755</v>
      </c>
      <c r="AE81" s="206">
        <f t="shared" si="119"/>
        <v>1252779.7196448799</v>
      </c>
      <c r="AF81" s="206">
        <f t="shared" si="119"/>
        <v>1247768.6007663005</v>
      </c>
      <c r="AG81" s="206">
        <f t="shared" si="119"/>
        <v>1242777.5263632352</v>
      </c>
      <c r="AH81" s="206">
        <f t="shared" si="119"/>
        <v>1237806.4162577821</v>
      </c>
      <c r="AI81" s="206">
        <f t="shared" si="119"/>
        <v>1232855.1905927509</v>
      </c>
      <c r="AJ81" s="207">
        <f t="shared" si="119"/>
        <v>1227923.7698303799</v>
      </c>
    </row>
    <row r="82" spans="1:36" x14ac:dyDescent="0.25">
      <c r="A82" s="199">
        <f t="shared" si="73"/>
        <v>2038</v>
      </c>
      <c r="B82" s="80">
        <f t="shared" si="109"/>
        <v>1078</v>
      </c>
      <c r="C82" s="197">
        <f>'Costs &amp; Rate Impacts - All'!V$37</f>
        <v>88.156068958107227</v>
      </c>
      <c r="D82" s="198">
        <f t="shared" si="70"/>
        <v>0.23548999484152008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f>B82*$C$7</f>
        <v>1293600</v>
      </c>
      <c r="Y82" s="206">
        <f>X82*0.996</f>
        <v>1288425.6000000001</v>
      </c>
      <c r="Z82" s="206">
        <f t="shared" ref="Z82:Z83" si="120">Y82*0.996</f>
        <v>1283271.8976</v>
      </c>
      <c r="AA82" s="206">
        <f t="shared" ref="AA82:AC82" si="121">Z82*0.996</f>
        <v>1278138.8100096001</v>
      </c>
      <c r="AB82" s="206">
        <f t="shared" si="121"/>
        <v>1273026.2547695618</v>
      </c>
      <c r="AC82" s="206">
        <f t="shared" si="121"/>
        <v>1267934.1497504835</v>
      </c>
      <c r="AD82" s="206">
        <f t="shared" ref="AD82:AE82" si="122">AC82*0.996</f>
        <v>1262862.4131514814</v>
      </c>
      <c r="AE82" s="206">
        <f t="shared" si="122"/>
        <v>1257810.9634988755</v>
      </c>
      <c r="AF82" s="206">
        <f t="shared" ref="AF82:AJ82" si="123">AE82*0.996</f>
        <v>1252779.7196448799</v>
      </c>
      <c r="AG82" s="206">
        <f t="shared" si="123"/>
        <v>1247768.6007663005</v>
      </c>
      <c r="AH82" s="206">
        <f t="shared" si="123"/>
        <v>1242777.5263632352</v>
      </c>
      <c r="AI82" s="206">
        <f t="shared" si="123"/>
        <v>1237806.4162577821</v>
      </c>
      <c r="AJ82" s="207">
        <f t="shared" si="123"/>
        <v>1232855.1905927509</v>
      </c>
    </row>
    <row r="83" spans="1:36" x14ac:dyDescent="0.25">
      <c r="A83" s="199">
        <f t="shared" si="73"/>
        <v>2039</v>
      </c>
      <c r="B83" s="80">
        <f t="shared" si="109"/>
        <v>1078</v>
      </c>
      <c r="C83" s="197">
        <f>'Costs &amp; Rate Impacts - All'!W$37</f>
        <v>89.037629647688306</v>
      </c>
      <c r="D83" s="198">
        <f t="shared" si="70"/>
        <v>0.25001868349954731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>
        <f>B83*$C$7</f>
        <v>1293600</v>
      </c>
      <c r="Z83" s="206">
        <f t="shared" si="120"/>
        <v>1288425.6000000001</v>
      </c>
      <c r="AA83" s="206">
        <f t="shared" ref="AA83:AC83" si="124">Z83*0.996</f>
        <v>1283271.8976</v>
      </c>
      <c r="AB83" s="206">
        <f t="shared" si="124"/>
        <v>1278138.8100096001</v>
      </c>
      <c r="AC83" s="206">
        <f t="shared" si="124"/>
        <v>1273026.2547695618</v>
      </c>
      <c r="AD83" s="206">
        <f t="shared" ref="AD83:AE83" si="125">AC83*0.996</f>
        <v>1267934.1497504835</v>
      </c>
      <c r="AE83" s="206">
        <f t="shared" si="125"/>
        <v>1262862.4131514814</v>
      </c>
      <c r="AF83" s="206">
        <f t="shared" ref="AF83:AJ83" si="126">AE83*0.996</f>
        <v>1257810.9634988755</v>
      </c>
      <c r="AG83" s="206">
        <f t="shared" si="126"/>
        <v>1252779.7196448799</v>
      </c>
      <c r="AH83" s="206">
        <f t="shared" si="126"/>
        <v>1247768.6007663005</v>
      </c>
      <c r="AI83" s="206">
        <f t="shared" si="126"/>
        <v>1242777.5263632352</v>
      </c>
      <c r="AJ83" s="207">
        <f t="shared" si="126"/>
        <v>1237806.4162577821</v>
      </c>
    </row>
    <row r="84" spans="1:36" x14ac:dyDescent="0.25">
      <c r="A84" s="199">
        <f t="shared" si="73"/>
        <v>2040</v>
      </c>
      <c r="B84" s="80">
        <f t="shared" si="109"/>
        <v>1078</v>
      </c>
      <c r="C84" s="197">
        <f>'Costs &amp; Rate Impacts - All'!X$37</f>
        <v>89.928005944165193</v>
      </c>
      <c r="D84" s="198">
        <f t="shared" si="70"/>
        <v>0.26440352375501985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>
        <f>B84*$C$7</f>
        <v>1293600</v>
      </c>
      <c r="AA84" s="206">
        <f t="shared" ref="AA84:AC84" si="127">Z84*0.996</f>
        <v>1288425.6000000001</v>
      </c>
      <c r="AB84" s="206">
        <f t="shared" si="127"/>
        <v>1283271.8976</v>
      </c>
      <c r="AC84" s="206">
        <f t="shared" si="127"/>
        <v>1278138.8100096001</v>
      </c>
      <c r="AD84" s="206">
        <f t="shared" ref="AD84:AE84" si="128">AC84*0.996</f>
        <v>1273026.2547695618</v>
      </c>
      <c r="AE84" s="206">
        <f t="shared" si="128"/>
        <v>1267934.1497504835</v>
      </c>
      <c r="AF84" s="206">
        <f t="shared" ref="AF84:AJ84" si="129">AE84*0.996</f>
        <v>1262862.4131514814</v>
      </c>
      <c r="AG84" s="206">
        <f t="shared" si="129"/>
        <v>1257810.9634988755</v>
      </c>
      <c r="AH84" s="206">
        <f t="shared" si="129"/>
        <v>1252779.7196448799</v>
      </c>
      <c r="AI84" s="206">
        <f t="shared" si="129"/>
        <v>1247768.6007663005</v>
      </c>
      <c r="AJ84" s="207">
        <f t="shared" si="129"/>
        <v>1242777.5263632352</v>
      </c>
    </row>
    <row r="85" spans="1:36" x14ac:dyDescent="0.25">
      <c r="A85" s="199">
        <f t="shared" si="73"/>
        <v>2041</v>
      </c>
      <c r="B85" s="80">
        <f t="shared" si="109"/>
        <v>1078</v>
      </c>
      <c r="C85" s="197">
        <f>'Costs &amp; Rate Impacts - All'!Y$37</f>
        <v>90.827286003606844</v>
      </c>
      <c r="D85" s="198">
        <f t="shared" si="70"/>
        <v>0.27864593984954711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>
        <f>B85*$C$7</f>
        <v>1293600</v>
      </c>
      <c r="AB85" s="206">
        <f t="shared" ref="AB85:AC85" si="130">AA85*0.996</f>
        <v>1288425.6000000001</v>
      </c>
      <c r="AC85" s="206">
        <f t="shared" si="130"/>
        <v>1283271.8976</v>
      </c>
      <c r="AD85" s="206">
        <f t="shared" ref="AD85:AE85" si="131">AC85*0.996</f>
        <v>1278138.8100096001</v>
      </c>
      <c r="AE85" s="206">
        <f t="shared" si="131"/>
        <v>1273026.2547695618</v>
      </c>
      <c r="AF85" s="206">
        <f t="shared" ref="AF85:AJ85" si="132">AE85*0.996</f>
        <v>1267934.1497504835</v>
      </c>
      <c r="AG85" s="206">
        <f t="shared" si="132"/>
        <v>1262862.4131514814</v>
      </c>
      <c r="AH85" s="206">
        <f t="shared" si="132"/>
        <v>1257810.9634988755</v>
      </c>
      <c r="AI85" s="206">
        <f t="shared" si="132"/>
        <v>1252779.7196448799</v>
      </c>
      <c r="AJ85" s="207">
        <f t="shared" si="132"/>
        <v>1247768.6007663005</v>
      </c>
    </row>
    <row r="86" spans="1:36" x14ac:dyDescent="0.25">
      <c r="A86" s="199">
        <f t="shared" si="73"/>
        <v>2042</v>
      </c>
      <c r="B86" s="80">
        <f t="shared" si="109"/>
        <v>1078</v>
      </c>
      <c r="C86" s="197">
        <f>'Costs &amp; Rate Impacts - All'!Z$37</f>
        <v>91.735558863642908</v>
      </c>
      <c r="D86" s="198">
        <f t="shared" si="70"/>
        <v>0.29274734192333646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>
        <f>B86*$C$7</f>
        <v>1293600</v>
      </c>
      <c r="AC86" s="206">
        <f t="shared" ref="AC86:AE86" si="133">AB86*0.996</f>
        <v>1288425.6000000001</v>
      </c>
      <c r="AD86" s="206">
        <f t="shared" si="133"/>
        <v>1283271.8976</v>
      </c>
      <c r="AE86" s="206">
        <f t="shared" si="133"/>
        <v>1278138.8100096001</v>
      </c>
      <c r="AF86" s="206">
        <f t="shared" ref="AF86:AJ86" si="134">AE86*0.996</f>
        <v>1273026.2547695618</v>
      </c>
      <c r="AG86" s="206">
        <f t="shared" si="134"/>
        <v>1267934.1497504835</v>
      </c>
      <c r="AH86" s="206">
        <f t="shared" si="134"/>
        <v>1262862.4131514814</v>
      </c>
      <c r="AI86" s="206">
        <f t="shared" si="134"/>
        <v>1257810.9634988755</v>
      </c>
      <c r="AJ86" s="207">
        <f t="shared" si="134"/>
        <v>1252779.7196448799</v>
      </c>
    </row>
    <row r="87" spans="1:36" x14ac:dyDescent="0.25">
      <c r="A87" s="199">
        <f t="shared" si="73"/>
        <v>2043</v>
      </c>
      <c r="B87" s="80">
        <f t="shared" si="109"/>
        <v>1078</v>
      </c>
      <c r="C87" s="197">
        <f>'Costs &amp; Rate Impacts - All'!AA$37</f>
        <v>92.652914452279333</v>
      </c>
      <c r="D87" s="198">
        <f t="shared" si="70"/>
        <v>0.30670912615481105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>
        <f>B87*$C$7</f>
        <v>1293600</v>
      </c>
      <c r="AD87" s="206">
        <f>AC87*0.996</f>
        <v>1288425.6000000001</v>
      </c>
      <c r="AE87" s="206">
        <f t="shared" ref="AE87:AJ87" si="135">AD87*0.996</f>
        <v>1283271.8976</v>
      </c>
      <c r="AF87" s="206">
        <f t="shared" si="135"/>
        <v>1278138.8100096001</v>
      </c>
      <c r="AG87" s="206">
        <f t="shared" si="135"/>
        <v>1273026.2547695618</v>
      </c>
      <c r="AH87" s="206">
        <f t="shared" si="135"/>
        <v>1267934.1497504835</v>
      </c>
      <c r="AI87" s="206">
        <f t="shared" si="135"/>
        <v>1262862.4131514814</v>
      </c>
      <c r="AJ87" s="207">
        <f t="shared" si="135"/>
        <v>1257810.9634988755</v>
      </c>
    </row>
    <row r="88" spans="1:36" x14ac:dyDescent="0.25">
      <c r="A88" s="199">
        <f t="shared" si="73"/>
        <v>2044</v>
      </c>
      <c r="B88" s="80">
        <f t="shared" si="109"/>
        <v>1078</v>
      </c>
      <c r="C88" s="197">
        <f>'Costs &amp; Rate Impacts - All'!AB$37</f>
        <v>93.579443596802122</v>
      </c>
      <c r="D88" s="198">
        <f t="shared" si="70"/>
        <v>0.32053267489884535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>
        <f>B88*$C$7</f>
        <v>1293600</v>
      </c>
      <c r="AE88" s="206">
        <f t="shared" ref="AE88:AG88" si="136">AD88*0.996</f>
        <v>1288425.6000000001</v>
      </c>
      <c r="AF88" s="206">
        <f t="shared" si="136"/>
        <v>1283271.8976</v>
      </c>
      <c r="AG88" s="206">
        <f t="shared" si="136"/>
        <v>1278138.8100096001</v>
      </c>
      <c r="AH88" s="206">
        <f t="shared" ref="AH88:AJ88" si="137">AG88*0.996</f>
        <v>1273026.2547695618</v>
      </c>
      <c r="AI88" s="206">
        <f t="shared" si="137"/>
        <v>1267934.1497504835</v>
      </c>
      <c r="AJ88" s="207">
        <f t="shared" si="137"/>
        <v>1262862.4131514814</v>
      </c>
    </row>
    <row r="89" spans="1:36" x14ac:dyDescent="0.25">
      <c r="A89" s="199">
        <f t="shared" si="73"/>
        <v>2045</v>
      </c>
      <c r="B89" s="80">
        <f t="shared" si="109"/>
        <v>1078</v>
      </c>
      <c r="C89" s="197">
        <f>'Costs &amp; Rate Impacts - All'!AC$37</f>
        <v>94.515238032770142</v>
      </c>
      <c r="D89" s="198">
        <f t="shared" si="70"/>
        <v>0.33421935682363174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>
        <f>B89*$C$7</f>
        <v>1293600</v>
      </c>
      <c r="AF89" s="206">
        <f t="shared" ref="AF89:AG89" si="138">AE89*0.996</f>
        <v>1288425.6000000001</v>
      </c>
      <c r="AG89" s="206">
        <f t="shared" si="138"/>
        <v>1283271.8976</v>
      </c>
      <c r="AH89" s="206">
        <f t="shared" ref="AH89:AJ89" si="139">AG89*0.996</f>
        <v>1278138.8100096001</v>
      </c>
      <c r="AI89" s="206">
        <f t="shared" si="139"/>
        <v>1273026.2547695618</v>
      </c>
      <c r="AJ89" s="207">
        <f t="shared" si="139"/>
        <v>1267934.1497504835</v>
      </c>
    </row>
    <row r="90" spans="1:36" x14ac:dyDescent="0.25">
      <c r="A90" s="199">
        <f t="shared" si="73"/>
        <v>2046</v>
      </c>
      <c r="B90" s="80">
        <f t="shared" si="109"/>
        <v>1078</v>
      </c>
      <c r="C90" s="197">
        <f>'Costs &amp; Rate Impacts - All'!AD$37</f>
        <v>95.460390413097841</v>
      </c>
      <c r="D90" s="198">
        <f t="shared" si="70"/>
        <v>0.34777052704619255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>
        <f>B90*$C$7</f>
        <v>1293600</v>
      </c>
      <c r="AG90" s="206">
        <f>AF90*0.996</f>
        <v>1288425.6000000001</v>
      </c>
      <c r="AH90" s="206">
        <f t="shared" ref="AH90:AJ90" si="140">AG90*0.996</f>
        <v>1283271.8976</v>
      </c>
      <c r="AI90" s="206">
        <f t="shared" si="140"/>
        <v>1278138.8100096001</v>
      </c>
      <c r="AJ90" s="207">
        <f t="shared" si="140"/>
        <v>1273026.2547695618</v>
      </c>
    </row>
    <row r="91" spans="1:36" x14ac:dyDescent="0.25">
      <c r="A91" s="199">
        <f t="shared" si="73"/>
        <v>2047</v>
      </c>
      <c r="B91" s="80">
        <f t="shared" si="109"/>
        <v>1078</v>
      </c>
      <c r="C91" s="197">
        <f>'Costs &amp; Rate Impacts - All'!AE$37</f>
        <v>96.414994317228818</v>
      </c>
      <c r="D91" s="198">
        <f t="shared" si="70"/>
        <v>0.36118752726654979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>
        <f>B91*$C$7</f>
        <v>1293600</v>
      </c>
      <c r="AH91" s="206">
        <f t="shared" ref="AH91:AJ91" si="141">AG91*0.996</f>
        <v>1288425.6000000001</v>
      </c>
      <c r="AI91" s="206">
        <f t="shared" si="141"/>
        <v>1283271.8976</v>
      </c>
      <c r="AJ91" s="207">
        <f t="shared" si="141"/>
        <v>1278138.8100096001</v>
      </c>
    </row>
    <row r="92" spans="1:36" x14ac:dyDescent="0.25">
      <c r="A92" s="199">
        <f t="shared" si="73"/>
        <v>2048</v>
      </c>
      <c r="B92" s="80">
        <f t="shared" si="109"/>
        <v>1078</v>
      </c>
      <c r="C92" s="197">
        <f>'Costs &amp; Rate Impacts - All'!AF$37</f>
        <v>97.379144260401105</v>
      </c>
      <c r="D92" s="198">
        <f t="shared" si="70"/>
        <v>0.37447168590056684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f>B92*$C$7</f>
        <v>1293600</v>
      </c>
      <c r="AI92" s="206">
        <f t="shared" ref="AI92:AJ92" si="142">AH92*0.996</f>
        <v>1288425.6000000001</v>
      </c>
      <c r="AJ92" s="207">
        <f t="shared" si="142"/>
        <v>1283271.8976</v>
      </c>
    </row>
    <row r="93" spans="1:36" x14ac:dyDescent="0.25">
      <c r="A93" s="199">
        <f t="shared" si="73"/>
        <v>2049</v>
      </c>
      <c r="B93" s="80">
        <f t="shared" si="109"/>
        <v>1078</v>
      </c>
      <c r="C93" s="197">
        <f>'Costs &amp; Rate Impacts - All'!AG$37</f>
        <v>98.352935703005116</v>
      </c>
      <c r="D93" s="198">
        <f t="shared" si="70"/>
        <v>0.38762431821147481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>
        <f>B93*$C$7</f>
        <v>1293600</v>
      </c>
      <c r="AJ93" s="207">
        <f>AI93*0.996</f>
        <v>1288425.6000000001</v>
      </c>
    </row>
    <row r="94" spans="1:36" x14ac:dyDescent="0.25">
      <c r="A94" s="199">
        <f t="shared" si="73"/>
        <v>2050</v>
      </c>
      <c r="B94" s="80">
        <f t="shared" si="109"/>
        <v>1078</v>
      </c>
      <c r="C94" s="197">
        <f>'Costs &amp; Rate Impacts - All'!AH$37</f>
        <v>99.336465060035167</v>
      </c>
      <c r="D94" s="198">
        <f t="shared" si="70"/>
        <v>0.40064672644009658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00">
        <f>B94*$C$7</f>
        <v>1293600</v>
      </c>
    </row>
    <row r="95" spans="1:36" ht="19.5" thickBot="1" x14ac:dyDescent="0.35">
      <c r="A95" s="208" t="s">
        <v>78</v>
      </c>
      <c r="B95" s="203"/>
      <c r="C95" s="203"/>
      <c r="D95" s="203"/>
      <c r="E95" s="203"/>
      <c r="F95" s="209">
        <f t="shared" ref="F95:AI95" si="143">SUM(F64:F94)</f>
        <v>0</v>
      </c>
      <c r="G95" s="209">
        <f t="shared" si="143"/>
        <v>0</v>
      </c>
      <c r="H95" s="209">
        <f t="shared" si="143"/>
        <v>488400</v>
      </c>
      <c r="I95" s="209">
        <f t="shared" si="143"/>
        <v>1350446.4</v>
      </c>
      <c r="J95" s="209">
        <f t="shared" si="143"/>
        <v>2253444.6144000003</v>
      </c>
      <c r="K95" s="209">
        <f t="shared" si="143"/>
        <v>3203230.8359424002</v>
      </c>
      <c r="L95" s="209">
        <f t="shared" si="143"/>
        <v>4204417.9125986304</v>
      </c>
      <c r="M95" s="209">
        <f t="shared" si="143"/>
        <v>5261600.2409482356</v>
      </c>
      <c r="N95" s="209">
        <f t="shared" si="143"/>
        <v>6381753.839984443</v>
      </c>
      <c r="O95" s="209">
        <f t="shared" si="143"/>
        <v>7570626.8246245058</v>
      </c>
      <c r="P95" s="209">
        <f t="shared" si="143"/>
        <v>8833944.3173260074</v>
      </c>
      <c r="Q95" s="209">
        <f t="shared" si="143"/>
        <v>10092208.540056704</v>
      </c>
      <c r="R95" s="209">
        <f t="shared" si="143"/>
        <v>11345439.705896476</v>
      </c>
      <c r="S95" s="209">
        <f t="shared" si="143"/>
        <v>12593657.947072892</v>
      </c>
      <c r="T95" s="209">
        <f t="shared" si="143"/>
        <v>13836883.3152846</v>
      </c>
      <c r="U95" s="209">
        <f t="shared" si="143"/>
        <v>15075135.782023463</v>
      </c>
      <c r="V95" s="209">
        <f t="shared" si="143"/>
        <v>16308435.23889537</v>
      </c>
      <c r="W95" s="209">
        <f t="shared" si="143"/>
        <v>17536801.497939788</v>
      </c>
      <c r="X95" s="209">
        <f t="shared" si="143"/>
        <v>18760254.291948028</v>
      </c>
      <c r="Y95" s="209">
        <f t="shared" si="143"/>
        <v>19978813.274780236</v>
      </c>
      <c r="Z95" s="209">
        <f t="shared" si="143"/>
        <v>21192498.021681115</v>
      </c>
      <c r="AA95" s="209">
        <f t="shared" si="143"/>
        <v>22401328.029594388</v>
      </c>
      <c r="AB95" s="209">
        <f t="shared" si="143"/>
        <v>23605322.717476014</v>
      </c>
      <c r="AC95" s="209">
        <f t="shared" si="143"/>
        <v>24804501.4266061</v>
      </c>
      <c r="AD95" s="209">
        <f t="shared" si="143"/>
        <v>25998883.420899678</v>
      </c>
      <c r="AE95" s="209">
        <f t="shared" si="143"/>
        <v>27188487.88721608</v>
      </c>
      <c r="AF95" s="209">
        <f t="shared" si="143"/>
        <v>28373333.935667213</v>
      </c>
      <c r="AG95" s="209">
        <f t="shared" si="143"/>
        <v>29553440.599924546</v>
      </c>
      <c r="AH95" s="209">
        <f t="shared" si="143"/>
        <v>30728826.837524842</v>
      </c>
      <c r="AI95" s="209">
        <f t="shared" si="143"/>
        <v>31899511.530174743</v>
      </c>
      <c r="AJ95" s="210">
        <f>SUM(AJ64:AJ94)</f>
        <v>33065513.484054048</v>
      </c>
    </row>
    <row r="99" spans="1:4" ht="18.75" x14ac:dyDescent="0.3">
      <c r="A99" s="418" t="s">
        <v>99</v>
      </c>
      <c r="B99" s="418"/>
    </row>
    <row r="101" spans="1:4" x14ac:dyDescent="0.25">
      <c r="A101" t="s">
        <v>100</v>
      </c>
      <c r="C101">
        <v>1000</v>
      </c>
      <c r="D101" t="s">
        <v>98</v>
      </c>
    </row>
    <row r="102" spans="1:4" x14ac:dyDescent="0.25">
      <c r="A102" t="s">
        <v>101</v>
      </c>
      <c r="C102">
        <v>0.4</v>
      </c>
    </row>
    <row r="103" spans="1:4" x14ac:dyDescent="0.25">
      <c r="A103" t="s">
        <v>105</v>
      </c>
      <c r="C103" s="19">
        <f>C101/C102</f>
        <v>2500</v>
      </c>
      <c r="D103" t="s">
        <v>104</v>
      </c>
    </row>
    <row r="104" spans="1:4" x14ac:dyDescent="0.25">
      <c r="A104" t="s">
        <v>102</v>
      </c>
      <c r="C104">
        <v>4.0599999999999997E-2</v>
      </c>
      <c r="D104" t="s">
        <v>103</v>
      </c>
    </row>
    <row r="105" spans="1:4" x14ac:dyDescent="0.25">
      <c r="A105" t="s">
        <v>107</v>
      </c>
      <c r="C105" s="149">
        <f>1012/3413</f>
        <v>0.29651333138001756</v>
      </c>
      <c r="D105" t="s">
        <v>106</v>
      </c>
    </row>
    <row r="106" spans="1:4" x14ac:dyDescent="0.25">
      <c r="A106" t="s">
        <v>108</v>
      </c>
      <c r="C106" s="148">
        <f>C103/C105*C104*0.454/1000</f>
        <v>0.15540953853754944</v>
      </c>
      <c r="D106" t="s">
        <v>97</v>
      </c>
    </row>
    <row r="107" spans="1:4" x14ac:dyDescent="0.25">
      <c r="A107" t="s">
        <v>121</v>
      </c>
      <c r="C107" s="150">
        <v>0.03</v>
      </c>
    </row>
    <row r="108" spans="1:4" x14ac:dyDescent="0.25">
      <c r="A108" t="s">
        <v>133</v>
      </c>
      <c r="C108" s="150"/>
    </row>
    <row r="109" spans="1:4" x14ac:dyDescent="0.25">
      <c r="A109" s="6" t="s">
        <v>120</v>
      </c>
      <c r="B109" s="6"/>
      <c r="C109" s="151">
        <f>C107*C106</f>
        <v>4.6622861561264831E-3</v>
      </c>
    </row>
    <row r="110" spans="1:4" x14ac:dyDescent="0.25">
      <c r="A110" s="6"/>
      <c r="B110" s="6"/>
      <c r="C110" s="6"/>
    </row>
    <row r="112" spans="1:4" ht="18.75" x14ac:dyDescent="0.3">
      <c r="A112" s="419"/>
      <c r="B112" s="419"/>
    </row>
  </sheetData>
  <mergeCells count="2">
    <mergeCell ref="A99:B99"/>
    <mergeCell ref="A112:B112"/>
  </mergeCells>
  <pageMargins left="0.25" right="0.25" top="0.25" bottom="0.25" header="0" footer="0"/>
  <pageSetup paperSize="3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 &amp; Rate Impacts - All</vt:lpstr>
      <vt:lpstr>Costs &amp; Rate Impacts - Solar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</dc:creator>
  <cp:lastModifiedBy>Reed, AlJawann</cp:lastModifiedBy>
  <cp:lastPrinted>2016-05-10T15:29:37Z</cp:lastPrinted>
  <dcterms:created xsi:type="dcterms:W3CDTF">2015-06-20T17:34:30Z</dcterms:created>
  <dcterms:modified xsi:type="dcterms:W3CDTF">2021-05-28T13:37:35Z</dcterms:modified>
</cp:coreProperties>
</file>