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530" windowHeight="17240" activeTab="1"/>
  </bookViews>
  <sheets>
    <sheet name="ZEC Collections and Price" sheetId="2" r:id="rId1"/>
    <sheet name="Rate Class Impacts" sheetId="1" r:id="rId2"/>
  </sheets>
  <definedNames>
    <definedName name="_xlnm.Print_Area" localSheetId="1">'Rate Class Impacts'!$A$1:$J$50</definedName>
    <definedName name="_xlnm.Print_Area" localSheetId="0">'ZEC Collections and Price'!$A$1:$G$22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B34" i="1"/>
  <c r="F47" i="1" s="1"/>
  <c r="C47" i="1" s="1"/>
  <c r="D25" i="1"/>
  <c r="D24" i="1"/>
  <c r="D31" i="1" s="1"/>
  <c r="C25" i="1"/>
  <c r="C24" i="1"/>
  <c r="B25" i="1"/>
  <c r="B24" i="1"/>
  <c r="D23" i="1"/>
  <c r="C23" i="1"/>
  <c r="C26" i="1" s="1"/>
  <c r="C30" i="1" s="1"/>
  <c r="B23" i="1"/>
  <c r="B21" i="2"/>
  <c r="B22" i="2"/>
  <c r="F12" i="2"/>
  <c r="D12" i="2"/>
  <c r="B12" i="2"/>
  <c r="F11" i="2"/>
  <c r="D11" i="2"/>
  <c r="F6" i="2"/>
  <c r="D6" i="2"/>
  <c r="B6" i="2"/>
  <c r="G49" i="1"/>
  <c r="G46" i="1"/>
  <c r="D46" i="1" s="1"/>
  <c r="F46" i="1"/>
  <c r="C46" i="1" s="1"/>
  <c r="F49" i="1"/>
  <c r="E49" i="1"/>
  <c r="B49" i="1" s="1"/>
  <c r="F13" i="2"/>
  <c r="F16" i="2" s="1"/>
  <c r="D13" i="2"/>
  <c r="D17" i="2" s="1"/>
  <c r="F17" i="2"/>
  <c r="D16" i="2"/>
  <c r="D47" i="1"/>
  <c r="D48" i="1"/>
  <c r="D49" i="1"/>
  <c r="C49" i="1"/>
  <c r="D26" i="1"/>
  <c r="D32" i="1" s="1"/>
  <c r="B26" i="1"/>
  <c r="B32" i="1"/>
  <c r="B11" i="2"/>
  <c r="C32" i="1"/>
  <c r="B30" i="1" l="1"/>
  <c r="B31" i="1"/>
  <c r="B39" i="1" s="1"/>
  <c r="C31" i="1"/>
  <c r="B13" i="2"/>
  <c r="D30" i="1"/>
  <c r="B38" i="1"/>
  <c r="D15" i="2"/>
  <c r="D18" i="2" s="1"/>
  <c r="D19" i="2" s="1"/>
  <c r="F20" i="2" s="1"/>
  <c r="F21" i="2" s="1"/>
  <c r="F15" i="2"/>
  <c r="F18" i="2" s="1"/>
  <c r="F19" i="2" s="1"/>
  <c r="E48" i="1"/>
  <c r="B48" i="1" s="1"/>
  <c r="E47" i="1"/>
  <c r="B47" i="1" s="1"/>
  <c r="B40" i="1"/>
  <c r="F48" i="1"/>
  <c r="C48" i="1" s="1"/>
  <c r="E46" i="1"/>
  <c r="B46" i="1" s="1"/>
  <c r="C19" i="1" l="1"/>
  <c r="C18" i="1"/>
  <c r="B17" i="1"/>
  <c r="B16" i="1"/>
  <c r="B19" i="1"/>
  <c r="B18" i="1"/>
  <c r="D16" i="1"/>
  <c r="D18" i="1"/>
  <c r="C17" i="1"/>
  <c r="D19" i="1"/>
  <c r="C16" i="1"/>
  <c r="B17" i="2"/>
  <c r="B15" i="2"/>
  <c r="B16" i="2"/>
  <c r="F22" i="2"/>
  <c r="D34" i="1"/>
  <c r="B7" i="1"/>
  <c r="B5" i="1"/>
  <c r="D7" i="1"/>
  <c r="C6" i="1"/>
  <c r="B4" i="1"/>
  <c r="C7" i="1"/>
  <c r="C4" i="1"/>
  <c r="C5" i="1"/>
  <c r="D4" i="1"/>
  <c r="D6" i="1"/>
  <c r="B6" i="1"/>
  <c r="C13" i="1"/>
  <c r="C12" i="1"/>
  <c r="B10" i="1"/>
  <c r="D12" i="1"/>
  <c r="B13" i="1"/>
  <c r="B12" i="1"/>
  <c r="D13" i="1"/>
  <c r="B11" i="1"/>
  <c r="C10" i="1"/>
  <c r="D10" i="1"/>
  <c r="C11" i="1"/>
  <c r="D40" i="1" l="1"/>
  <c r="D39" i="1"/>
  <c r="D38" i="1"/>
  <c r="B18" i="2"/>
  <c r="B19" i="2" s="1"/>
  <c r="D20" i="2" s="1"/>
  <c r="D21" i="2" s="1"/>
  <c r="D22" i="2" l="1"/>
  <c r="C34" i="1"/>
  <c r="H4" i="1"/>
  <c r="H6" i="1"/>
  <c r="I5" i="1"/>
  <c r="I6" i="1"/>
  <c r="I7" i="1"/>
  <c r="H5" i="1"/>
  <c r="J7" i="1"/>
  <c r="I4" i="1"/>
  <c r="H7" i="1"/>
  <c r="J6" i="1"/>
  <c r="J4" i="1"/>
  <c r="I12" i="1"/>
  <c r="H12" i="1"/>
  <c r="H13" i="1"/>
  <c r="J12" i="1"/>
  <c r="J13" i="1"/>
  <c r="H10" i="1"/>
  <c r="I13" i="1"/>
  <c r="I10" i="1"/>
  <c r="I11" i="1"/>
  <c r="J10" i="1"/>
  <c r="H11" i="1"/>
  <c r="H18" i="1"/>
  <c r="J18" i="1"/>
  <c r="J16" i="1"/>
  <c r="I16" i="1"/>
  <c r="H17" i="1"/>
  <c r="H16" i="1"/>
  <c r="H19" i="1"/>
  <c r="I17" i="1"/>
  <c r="J19" i="1"/>
  <c r="I19" i="1"/>
  <c r="I18" i="1"/>
  <c r="C39" i="1" l="1"/>
  <c r="C40" i="1"/>
  <c r="C38" i="1"/>
  <c r="E4" i="1" l="1"/>
  <c r="G4" i="1"/>
  <c r="F5" i="1"/>
  <c r="F6" i="1"/>
  <c r="E7" i="1"/>
  <c r="F4" i="1"/>
  <c r="G6" i="1"/>
  <c r="G7" i="1"/>
  <c r="E5" i="1"/>
  <c r="E6" i="1"/>
  <c r="F7" i="1"/>
  <c r="E19" i="1"/>
  <c r="G19" i="1"/>
  <c r="F17" i="1"/>
  <c r="E18" i="1"/>
  <c r="E16" i="1"/>
  <c r="G18" i="1"/>
  <c r="F18" i="1"/>
  <c r="F16" i="1"/>
  <c r="F19" i="1"/>
  <c r="E17" i="1"/>
  <c r="G16" i="1"/>
  <c r="F10" i="1"/>
  <c r="E11" i="1"/>
  <c r="F12" i="1"/>
  <c r="E13" i="1"/>
  <c r="E10" i="1"/>
  <c r="G10" i="1"/>
  <c r="E12" i="1"/>
  <c r="F11" i="1"/>
  <c r="F13" i="1"/>
  <c r="G13" i="1"/>
  <c r="G12" i="1"/>
</calcChain>
</file>

<file path=xl/sharedStrings.xml><?xml version="1.0" encoding="utf-8"?>
<sst xmlns="http://schemas.openxmlformats.org/spreadsheetml/2006/main" count="131" uniqueCount="54">
  <si>
    <t>Hope Creek</t>
  </si>
  <si>
    <t>Energy Year 2022/2023</t>
  </si>
  <si>
    <t>Energy Year 2023/2024</t>
  </si>
  <si>
    <t>Energy Year 2024/2025</t>
  </si>
  <si>
    <t>Rockland Electric Company</t>
  </si>
  <si>
    <t>Jersey Central Power &amp; Light Company</t>
  </si>
  <si>
    <t>Atlantic City Electric Company</t>
  </si>
  <si>
    <t>Salem 1</t>
  </si>
  <si>
    <t>Salem 2</t>
  </si>
  <si>
    <t xml:space="preserve">Residential </t>
  </si>
  <si>
    <t>Commercial</t>
  </si>
  <si>
    <t>Industrial</t>
  </si>
  <si>
    <t>NJ Related Nuclear Generation by Energy Year (mWh)</t>
  </si>
  <si>
    <t>Energy Year</t>
  </si>
  <si>
    <t>NJ Related Nuclear Generation (%) by Energy Year (%)</t>
  </si>
  <si>
    <t>Effective Annual ZECRC ($/kWh)</t>
  </si>
  <si>
    <t>Effective ZECRC by Unit ($/kWh)</t>
  </si>
  <si>
    <t>KW</t>
  </si>
  <si>
    <t>kWh/Mo.</t>
  </si>
  <si>
    <t>Notes:</t>
  </si>
  <si>
    <t>Annualized Rates</t>
  </si>
  <si>
    <t>If blank, no data or incomplete data submitted</t>
  </si>
  <si>
    <t>Butler Electric does not submit to EEI</t>
  </si>
  <si>
    <t xml:space="preserve">New Jersey Electric Distribution Companies </t>
  </si>
  <si>
    <t>Summary of ZECRC Collections and ZEC Price Calculation</t>
  </si>
  <si>
    <t>EY 2022/2023</t>
  </si>
  <si>
    <t>EY 2023/2024</t>
  </si>
  <si>
    <t>EY 2024/2025</t>
  </si>
  <si>
    <t>ZEC Rate per kWh (w/o SUT)</t>
  </si>
  <si>
    <t>Utility Collections for the Purchase of ZECs</t>
  </si>
  <si>
    <t>A</t>
  </si>
  <si>
    <t>B</t>
  </si>
  <si>
    <t xml:space="preserve">Total  </t>
  </si>
  <si>
    <t>C</t>
  </si>
  <si>
    <r>
      <t>40% of mWh Distributed (</t>
    </r>
    <r>
      <rPr>
        <b/>
        <sz val="11"/>
        <color rgb="FFFF0000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* 40%)</t>
    </r>
  </si>
  <si>
    <t>D</t>
  </si>
  <si>
    <r>
      <t>ZEC Price (</t>
    </r>
    <r>
      <rPr>
        <b/>
        <sz val="11"/>
        <color rgb="FFFF0000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/ (the greater of </t>
    </r>
    <r>
      <rPr>
        <b/>
        <sz val="11"/>
        <color rgb="FFFF0000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 xml:space="preserve"> or </t>
    </r>
    <r>
      <rPr>
        <b/>
        <sz val="11"/>
        <color rgb="FFFF0000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)</t>
    </r>
  </si>
  <si>
    <t>ZEC Payments to Plants (mWh Generated * ZEC Price)</t>
  </si>
  <si>
    <t>NJ Related Nuclear Generation by Energy Year</t>
  </si>
  <si>
    <t>Total Energy Distributed in NJ (mWh) Energy Year 2019/2020</t>
  </si>
  <si>
    <t>Total</t>
  </si>
  <si>
    <t>E</t>
  </si>
  <si>
    <r>
      <t>Overcollections (without Interest) to be Returned to Customers in the Next Energy Year (</t>
    </r>
    <r>
      <rPr>
        <b/>
        <sz val="11"/>
        <color rgb="FFFF0000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)</t>
    </r>
  </si>
  <si>
    <t>F</t>
  </si>
  <si>
    <r>
      <t xml:space="preserve">Refund of Excess Collections per kWh ((Prior Year's </t>
    </r>
    <r>
      <rPr>
        <b/>
        <sz val="11"/>
        <color rgb="FFFF0000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/ (</t>
    </r>
    <r>
      <rPr>
        <b/>
        <sz val="11"/>
        <color rgb="FFFF0000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* 1000))</t>
    </r>
  </si>
  <si>
    <t>Annual Effective ZECRC Rate per kWh (w/o SUT)</t>
  </si>
  <si>
    <t>Annual Effective ZECRC Rate per kWh (w/ SUT)</t>
  </si>
  <si>
    <t>Public Service Electric &amp; Gas Company</t>
  </si>
  <si>
    <t>ACE Industrial uses Summer 2018 bills due to an issue in the summer 2029 results</t>
  </si>
  <si>
    <t>All 2019 bills are adjusted to remove ZEC</t>
  </si>
  <si>
    <t>Average Rates per Rate Class for NJ EDCs ($/kWh) excluding current ZECRC</t>
  </si>
  <si>
    <t>Source: Summer 2019 EEI Survey</t>
  </si>
  <si>
    <t>EEI Data excludes Sales Tax</t>
  </si>
  <si>
    <t>Zero Emission Certificate Recovery Charge (ZECRC) Rate Class Impact by Nuclear Unit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</si>
</sst>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"/>
    <numFmt numFmtId="167" formatCode="0.0000000"/>
    <numFmt numFmtId="168" formatCode="_(&quot;$&quot;* #,##0_);_(&quot;$&quot;* \(#,##0\);_(&quot;$&quot;* &quot;-&quot;??_);_(@_)"/>
    <numFmt numFmtId="169" formatCode="_(* #,##0.000000_);_(* \(#,##0.000000\);_(* &quot;-&quot;??_);_(@_)"/>
    <numFmt numFmtId="170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2" fillId="0" borderId="0" xfId="0" applyFont="1" applyFill="1" applyBorder="1" applyAlignment="1">
      <alignment horizontal="right"/>
    </xf>
    <xf numFmtId="164" fontId="0" fillId="0" borderId="0" xfId="1" applyNumberFormat="1" applyFont="1"/>
    <xf numFmtId="164" fontId="0" fillId="0" borderId="10" xfId="1" applyNumberFormat="1" applyFont="1" applyBorder="1"/>
    <xf numFmtId="165" fontId="0" fillId="0" borderId="0" xfId="3" applyNumberFormat="1" applyFont="1"/>
    <xf numFmtId="166" fontId="0" fillId="0" borderId="0" xfId="0" applyNumberFormat="1"/>
    <xf numFmtId="167" fontId="0" fillId="0" borderId="0" xfId="0" applyNumberFormat="1"/>
    <xf numFmtId="0" fontId="0" fillId="0" borderId="0" xfId="0" applyBorder="1" applyAlignment="1">
      <alignment horizontal="right"/>
    </xf>
    <xf numFmtId="10" fontId="0" fillId="0" borderId="7" xfId="3" applyNumberFormat="1" applyFont="1" applyBorder="1"/>
    <xf numFmtId="10" fontId="0" fillId="0" borderId="9" xfId="3" applyNumberFormat="1" applyFont="1" applyBorder="1"/>
    <xf numFmtId="10" fontId="0" fillId="0" borderId="0" xfId="3" applyNumberFormat="1" applyFont="1" applyBorder="1"/>
    <xf numFmtId="10" fontId="0" fillId="0" borderId="10" xfId="3" applyNumberFormat="1" applyFont="1" applyBorder="1"/>
    <xf numFmtId="10" fontId="0" fillId="0" borderId="8" xfId="3" applyNumberFormat="1" applyFont="1" applyBorder="1"/>
    <xf numFmtId="10" fontId="0" fillId="0" borderId="11" xfId="3" applyNumberFormat="1" applyFont="1" applyBorder="1"/>
    <xf numFmtId="0" fontId="4" fillId="0" borderId="0" xfId="0" applyFont="1" applyAlignment="1">
      <alignment horizontal="left"/>
    </xf>
    <xf numFmtId="0" fontId="0" fillId="0" borderId="17" xfId="0" applyBorder="1"/>
    <xf numFmtId="0" fontId="2" fillId="0" borderId="24" xfId="0" applyFont="1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Font="1" applyFill="1" applyBorder="1"/>
    <xf numFmtId="164" fontId="0" fillId="0" borderId="0" xfId="1" applyNumberFormat="1" applyFont="1" applyBorder="1"/>
    <xf numFmtId="0" fontId="2" fillId="0" borderId="21" xfId="0" applyFont="1" applyFill="1" applyBorder="1"/>
    <xf numFmtId="164" fontId="0" fillId="0" borderId="22" xfId="0" applyNumberFormat="1" applyBorder="1"/>
    <xf numFmtId="164" fontId="0" fillId="0" borderId="22" xfId="1" applyNumberFormat="1" applyFont="1" applyBorder="1"/>
    <xf numFmtId="0" fontId="0" fillId="0" borderId="24" xfId="0" applyFont="1" applyFill="1" applyBorder="1"/>
    <xf numFmtId="0" fontId="2" fillId="0" borderId="26" xfId="0" applyFont="1" applyFill="1" applyBorder="1"/>
    <xf numFmtId="164" fontId="0" fillId="0" borderId="27" xfId="0" applyNumberFormat="1" applyBorder="1"/>
    <xf numFmtId="0" fontId="0" fillId="0" borderId="28" xfId="0" applyBorder="1" applyAlignment="1">
      <alignment horizontal="center"/>
    </xf>
    <xf numFmtId="0" fontId="5" fillId="0" borderId="28" xfId="0" applyFont="1" applyBorder="1" applyAlignment="1">
      <alignment horizontal="center"/>
    </xf>
    <xf numFmtId="43" fontId="0" fillId="0" borderId="27" xfId="0" applyNumberFormat="1" applyBorder="1"/>
    <xf numFmtId="0" fontId="2" fillId="0" borderId="16" xfId="0" applyFont="1" applyBorder="1" applyAlignment="1">
      <alignment wrapText="1"/>
    </xf>
    <xf numFmtId="43" fontId="5" fillId="0" borderId="18" xfId="1" applyFont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168" fontId="0" fillId="0" borderId="0" xfId="2" applyNumberFormat="1" applyFont="1" applyBorder="1"/>
    <xf numFmtId="168" fontId="0" fillId="0" borderId="22" xfId="0" applyNumberFormat="1" applyBorder="1"/>
    <xf numFmtId="0" fontId="2" fillId="0" borderId="26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169" fontId="0" fillId="0" borderId="27" xfId="0" applyNumberFormat="1" applyBorder="1"/>
    <xf numFmtId="0" fontId="2" fillId="2" borderId="26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 applyAlignment="1">
      <alignment horizontal="center"/>
    </xf>
    <xf numFmtId="164" fontId="0" fillId="0" borderId="16" xfId="1" applyNumberFormat="1" applyFont="1" applyBorder="1"/>
    <xf numFmtId="0" fontId="0" fillId="0" borderId="24" xfId="0" applyBorder="1"/>
    <xf numFmtId="164" fontId="0" fillId="0" borderId="21" xfId="0" applyNumberFormat="1" applyBorder="1"/>
    <xf numFmtId="0" fontId="0" fillId="0" borderId="16" xfId="0" applyBorder="1"/>
    <xf numFmtId="164" fontId="0" fillId="0" borderId="19" xfId="1" applyNumberFormat="1" applyFont="1" applyBorder="1"/>
    <xf numFmtId="164" fontId="0" fillId="0" borderId="24" xfId="1" applyNumberFormat="1" applyFont="1" applyBorder="1"/>
    <xf numFmtId="164" fontId="0" fillId="0" borderId="26" xfId="0" applyNumberFormat="1" applyBorder="1"/>
    <xf numFmtId="43" fontId="0" fillId="0" borderId="26" xfId="0" applyNumberFormat="1" applyBorder="1"/>
    <xf numFmtId="168" fontId="0" fillId="0" borderId="19" xfId="2" applyNumberFormat="1" applyFont="1" applyBorder="1"/>
    <xf numFmtId="164" fontId="0" fillId="0" borderId="20" xfId="1" applyNumberFormat="1" applyFont="1" applyBorder="1" applyAlignment="1">
      <alignment horizontal="center"/>
    </xf>
    <xf numFmtId="164" fontId="0" fillId="0" borderId="25" xfId="1" applyNumberFormat="1" applyFont="1" applyBorder="1" applyAlignment="1">
      <alignment horizontal="center"/>
    </xf>
    <xf numFmtId="168" fontId="0" fillId="0" borderId="21" xfId="0" applyNumberFormat="1" applyBorder="1"/>
    <xf numFmtId="169" fontId="0" fillId="0" borderId="26" xfId="0" applyNumberFormat="1" applyBorder="1"/>
    <xf numFmtId="0" fontId="0" fillId="2" borderId="26" xfId="0" applyFill="1" applyBorder="1"/>
    <xf numFmtId="0" fontId="0" fillId="0" borderId="15" xfId="0" applyBorder="1"/>
    <xf numFmtId="164" fontId="0" fillId="0" borderId="21" xfId="1" applyNumberFormat="1" applyFont="1" applyBorder="1"/>
    <xf numFmtId="164" fontId="0" fillId="0" borderId="0" xfId="1" applyNumberFormat="1" applyFont="1" applyFill="1" applyBorder="1"/>
    <xf numFmtId="0" fontId="2" fillId="0" borderId="21" xfId="0" applyFont="1" applyBorder="1" applyAlignment="1">
      <alignment wrapText="1"/>
    </xf>
    <xf numFmtId="44" fontId="0" fillId="0" borderId="0" xfId="2" applyFont="1" applyFill="1"/>
    <xf numFmtId="170" fontId="0" fillId="0" borderId="0" xfId="0" applyNumberForma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zoomScaleNormal="100" workbookViewId="0">
      <selection activeCell="A30" sqref="A30"/>
    </sheetView>
  </sheetViews>
  <sheetFormatPr defaultRowHeight="14.5" x14ac:dyDescent="0.35"/>
  <cols>
    <col min="1" max="1" width="48.7265625" customWidth="1"/>
    <col min="2" max="2" width="16.453125" customWidth="1"/>
    <col min="3" max="3" width="3.7265625" style="1" bestFit="1" customWidth="1"/>
    <col min="4" max="4" width="17.453125" customWidth="1"/>
    <col min="5" max="5" width="3.7265625" style="1" bestFit="1" customWidth="1"/>
    <col min="6" max="6" width="16.26953125" bestFit="1" customWidth="1"/>
    <col min="7" max="7" width="3.7265625" style="1" bestFit="1" customWidth="1"/>
  </cols>
  <sheetData>
    <row r="1" spans="1:8" ht="23.5" x14ac:dyDescent="0.55000000000000004">
      <c r="A1" s="79" t="s">
        <v>23</v>
      </c>
      <c r="B1" s="79"/>
      <c r="C1" s="79"/>
      <c r="D1" s="79"/>
      <c r="E1" s="79"/>
      <c r="F1" s="79"/>
      <c r="G1" s="79"/>
    </row>
    <row r="2" spans="1:8" ht="24" thickBot="1" x14ac:dyDescent="0.6">
      <c r="A2" s="80" t="s">
        <v>24</v>
      </c>
      <c r="B2" s="80"/>
      <c r="C2" s="80"/>
      <c r="D2" s="80"/>
      <c r="E2" s="80"/>
      <c r="F2" s="80"/>
      <c r="G2" s="80"/>
    </row>
    <row r="3" spans="1:8" ht="15" thickBot="1" x14ac:dyDescent="0.4">
      <c r="A3" s="69"/>
      <c r="B3" s="75" t="s">
        <v>25</v>
      </c>
      <c r="C3" s="76"/>
      <c r="D3" s="75" t="s">
        <v>26</v>
      </c>
      <c r="E3" s="76"/>
      <c r="F3" s="77" t="s">
        <v>27</v>
      </c>
      <c r="G3" s="78"/>
    </row>
    <row r="4" spans="1:8" ht="31.5" customHeight="1" x14ac:dyDescent="0.35">
      <c r="A4" s="44" t="s">
        <v>39</v>
      </c>
      <c r="B4" s="55">
        <v>69444480.93053481</v>
      </c>
      <c r="C4" s="45" t="s">
        <v>30</v>
      </c>
      <c r="D4" s="55">
        <v>69444480.93053481</v>
      </c>
      <c r="E4" s="45" t="s">
        <v>30</v>
      </c>
      <c r="F4" s="55">
        <v>69444480.93053481</v>
      </c>
      <c r="G4" s="45" t="s">
        <v>30</v>
      </c>
      <c r="H4" s="71"/>
    </row>
    <row r="5" spans="1:8" x14ac:dyDescent="0.35">
      <c r="A5" s="28" t="s">
        <v>28</v>
      </c>
      <c r="B5" s="56">
        <v>4.0000000000000001E-3</v>
      </c>
      <c r="C5" s="32"/>
      <c r="D5" s="56">
        <v>4.0000000000000001E-3</v>
      </c>
      <c r="E5" s="32"/>
      <c r="F5" s="12">
        <v>4.0000000000000001E-3</v>
      </c>
      <c r="G5" s="32"/>
    </row>
    <row r="6" spans="1:8" ht="32.25" customHeight="1" thickBot="1" x14ac:dyDescent="0.4">
      <c r="A6" s="72" t="s">
        <v>29</v>
      </c>
      <c r="B6" s="57">
        <f>(B4*1000)*B5</f>
        <v>277777923.72213924</v>
      </c>
      <c r="C6" s="31" t="s">
        <v>31</v>
      </c>
      <c r="D6" s="57">
        <f>(D4*1000)*D5</f>
        <v>277777923.72213924</v>
      </c>
      <c r="E6" s="31" t="s">
        <v>31</v>
      </c>
      <c r="F6" s="36">
        <f>(F4*1000)*F5</f>
        <v>277777923.72213924</v>
      </c>
      <c r="G6" s="31" t="s">
        <v>31</v>
      </c>
    </row>
    <row r="7" spans="1:8" ht="31.5" customHeight="1" x14ac:dyDescent="0.35">
      <c r="A7" s="46" t="s">
        <v>38</v>
      </c>
      <c r="B7" s="58"/>
      <c r="C7" s="29"/>
      <c r="D7" s="58"/>
      <c r="E7" s="29"/>
      <c r="F7" s="27"/>
      <c r="G7" s="29"/>
    </row>
    <row r="8" spans="1:8" x14ac:dyDescent="0.35">
      <c r="A8" s="33" t="s">
        <v>0</v>
      </c>
      <c r="B8" s="59">
        <v>9336881.5</v>
      </c>
      <c r="C8" s="30"/>
      <c r="D8" s="59">
        <v>8914871.265625</v>
      </c>
      <c r="E8" s="30"/>
      <c r="F8" s="34">
        <v>10198627.125</v>
      </c>
      <c r="G8" s="30"/>
    </row>
    <row r="9" spans="1:8" x14ac:dyDescent="0.35">
      <c r="A9" s="33" t="s">
        <v>7</v>
      </c>
      <c r="B9" s="59">
        <v>9115727.9328514189</v>
      </c>
      <c r="C9" s="30"/>
      <c r="D9" s="59">
        <v>8613688.1640829127</v>
      </c>
      <c r="E9" s="30"/>
      <c r="F9" s="34">
        <v>8718125.9934027195</v>
      </c>
      <c r="G9" s="30"/>
    </row>
    <row r="10" spans="1:8" x14ac:dyDescent="0.35">
      <c r="A10" s="38" t="s">
        <v>8</v>
      </c>
      <c r="B10" s="60">
        <v>7795792.2182546603</v>
      </c>
      <c r="C10" s="32"/>
      <c r="D10" s="60">
        <v>9745852.5844800547</v>
      </c>
      <c r="E10" s="32"/>
      <c r="F10" s="15">
        <v>8512269.1767549179</v>
      </c>
      <c r="G10" s="32"/>
    </row>
    <row r="11" spans="1:8" ht="15" thickBot="1" x14ac:dyDescent="0.4">
      <c r="A11" s="35" t="s">
        <v>32</v>
      </c>
      <c r="B11" s="57">
        <f>SUM(B8:B10)</f>
        <v>26248401.651106078</v>
      </c>
      <c r="C11" s="31" t="s">
        <v>33</v>
      </c>
      <c r="D11" s="70">
        <f>SUM(D8:D10)</f>
        <v>27274412.014187969</v>
      </c>
      <c r="E11" s="31" t="s">
        <v>33</v>
      </c>
      <c r="F11" s="37">
        <f>SUM(F8:F10)</f>
        <v>27429022.295157637</v>
      </c>
      <c r="G11" s="31" t="s">
        <v>33</v>
      </c>
    </row>
    <row r="12" spans="1:8" ht="15" thickBot="1" x14ac:dyDescent="0.4">
      <c r="A12" s="39" t="s">
        <v>34</v>
      </c>
      <c r="B12" s="61">
        <f>B4*0.4</f>
        <v>27777792.372213926</v>
      </c>
      <c r="C12" s="42" t="s">
        <v>35</v>
      </c>
      <c r="D12" s="61">
        <f>D4*0.4</f>
        <v>27777792.372213926</v>
      </c>
      <c r="E12" s="42" t="s">
        <v>35</v>
      </c>
      <c r="F12" s="40">
        <f>F4*0.4</f>
        <v>27777792.372213926</v>
      </c>
      <c r="G12" s="42" t="s">
        <v>35</v>
      </c>
    </row>
    <row r="13" spans="1:8" ht="15" thickBot="1" x14ac:dyDescent="0.4">
      <c r="A13" s="49" t="s">
        <v>36</v>
      </c>
      <c r="B13" s="62">
        <f>B6/(MAX(B11:B12))</f>
        <v>10</v>
      </c>
      <c r="C13" s="41"/>
      <c r="D13" s="62">
        <f>D6/(MAX(D11:D12))</f>
        <v>10</v>
      </c>
      <c r="E13" s="41"/>
      <c r="F13" s="43">
        <f>F6/(MAX(F11:F12))</f>
        <v>10</v>
      </c>
      <c r="G13" s="41"/>
    </row>
    <row r="14" spans="1:8" ht="35.25" customHeight="1" x14ac:dyDescent="0.35">
      <c r="A14" s="46" t="s">
        <v>37</v>
      </c>
      <c r="B14" s="58"/>
      <c r="C14" s="29"/>
      <c r="D14" s="58"/>
      <c r="E14" s="29"/>
      <c r="F14" s="27"/>
      <c r="G14" s="29"/>
    </row>
    <row r="15" spans="1:8" x14ac:dyDescent="0.35">
      <c r="A15" s="33" t="s">
        <v>0</v>
      </c>
      <c r="B15" s="63">
        <f>B8*$B$13</f>
        <v>93368815</v>
      </c>
      <c r="C15" s="30"/>
      <c r="D15" s="63">
        <f>D8*$D$13</f>
        <v>89148712.65625</v>
      </c>
      <c r="E15" s="30"/>
      <c r="F15" s="47">
        <f>F8*$F$13</f>
        <v>101986271.25</v>
      </c>
      <c r="G15" s="30"/>
    </row>
    <row r="16" spans="1:8" x14ac:dyDescent="0.35">
      <c r="A16" s="33" t="s">
        <v>7</v>
      </c>
      <c r="B16" s="59">
        <f t="shared" ref="B16:B17" si="0">B9*$B$13</f>
        <v>91157279.328514189</v>
      </c>
      <c r="C16" s="64"/>
      <c r="D16" s="59">
        <f t="shared" ref="D16:D17" si="1">D9*$D$13</f>
        <v>86136881.640829131</v>
      </c>
      <c r="E16" s="64"/>
      <c r="F16" s="34">
        <f t="shared" ref="F16:F17" si="2">F9*$F$13</f>
        <v>87181259.934027195</v>
      </c>
      <c r="G16" s="30"/>
    </row>
    <row r="17" spans="1:7" x14ac:dyDescent="0.35">
      <c r="A17" s="38" t="s">
        <v>8</v>
      </c>
      <c r="B17" s="60">
        <f t="shared" si="0"/>
        <v>77957922.182546601</v>
      </c>
      <c r="C17" s="65"/>
      <c r="D17" s="60">
        <f t="shared" si="1"/>
        <v>97458525.844800547</v>
      </c>
      <c r="E17" s="65"/>
      <c r="F17" s="15">
        <f t="shared" si="2"/>
        <v>85122691.767549187</v>
      </c>
      <c r="G17" s="32"/>
    </row>
    <row r="18" spans="1:7" ht="15" thickBot="1" x14ac:dyDescent="0.4">
      <c r="A18" s="35" t="s">
        <v>40</v>
      </c>
      <c r="B18" s="66">
        <f>SUM(B15:B17)</f>
        <v>262484016.51106077</v>
      </c>
      <c r="C18" s="31" t="s">
        <v>41</v>
      </c>
      <c r="D18" s="66">
        <f>SUM(D15:D17)</f>
        <v>272744120.14187968</v>
      </c>
      <c r="E18" s="31" t="s">
        <v>41</v>
      </c>
      <c r="F18" s="48">
        <f>SUM(F15:F17)</f>
        <v>274290222.95157635</v>
      </c>
      <c r="G18" s="31" t="s">
        <v>41</v>
      </c>
    </row>
    <row r="19" spans="1:7" ht="29.5" thickBot="1" x14ac:dyDescent="0.4">
      <c r="A19" s="49" t="s">
        <v>42</v>
      </c>
      <c r="B19" s="61">
        <f>B6-B18</f>
        <v>15293907.211078465</v>
      </c>
      <c r="C19" s="42" t="s">
        <v>43</v>
      </c>
      <c r="D19" s="61">
        <f>D6-D18</f>
        <v>5033803.5802595615</v>
      </c>
      <c r="E19" s="42" t="s">
        <v>43</v>
      </c>
      <c r="F19" s="40">
        <f>F6-F18</f>
        <v>3487700.7705628872</v>
      </c>
      <c r="G19" s="42" t="s">
        <v>43</v>
      </c>
    </row>
    <row r="20" spans="1:7" ht="29.5" thickBot="1" x14ac:dyDescent="0.4">
      <c r="A20" s="50" t="s">
        <v>44</v>
      </c>
      <c r="B20" s="67">
        <v>0</v>
      </c>
      <c r="C20" s="41"/>
      <c r="D20" s="67">
        <f>-ROUND((B19/(D4*1000)),6)</f>
        <v>-2.2000000000000001E-4</v>
      </c>
      <c r="E20" s="41"/>
      <c r="F20" s="51">
        <f>-ROUND((D19/(F4*1000)),6)</f>
        <v>-7.2000000000000002E-5</v>
      </c>
      <c r="G20" s="41"/>
    </row>
    <row r="21" spans="1:7" ht="15" thickBot="1" x14ac:dyDescent="0.4">
      <c r="A21" s="50" t="s">
        <v>45</v>
      </c>
      <c r="B21" s="67">
        <f>B20+B5</f>
        <v>4.0000000000000001E-3</v>
      </c>
      <c r="C21" s="41"/>
      <c r="D21" s="67">
        <f>D20+D5</f>
        <v>3.7799999999999999E-3</v>
      </c>
      <c r="E21" s="41"/>
      <c r="F21" s="51">
        <f>F20+F5</f>
        <v>3.9280000000000001E-3</v>
      </c>
      <c r="G21" s="41"/>
    </row>
    <row r="22" spans="1:7" ht="15" thickBot="1" x14ac:dyDescent="0.4">
      <c r="A22" s="52" t="s">
        <v>46</v>
      </c>
      <c r="B22" s="68">
        <f>ROUND(B21*1.06625,6)</f>
        <v>4.2649999999999997E-3</v>
      </c>
      <c r="C22" s="54"/>
      <c r="D22" s="68">
        <f>ROUND(D21*1.06625,6)</f>
        <v>4.0299999999999997E-3</v>
      </c>
      <c r="E22" s="54"/>
      <c r="F22" s="53">
        <f>ROUND(F21*1.06625,6)</f>
        <v>4.1879999999999999E-3</v>
      </c>
      <c r="G22" s="54"/>
    </row>
  </sheetData>
  <mergeCells count="5">
    <mergeCell ref="B3:C3"/>
    <mergeCell ref="D3:E3"/>
    <mergeCell ref="F3:G3"/>
    <mergeCell ref="A1:G1"/>
    <mergeCell ref="A2:G2"/>
  </mergeCells>
  <pageMargins left="0.7" right="0.7" top="0.75" bottom="0.75" header="0.3" footer="0.3"/>
  <pageSetup orientation="landscape" horizontalDpi="1200" verticalDpi="1200" r:id="rId1"/>
  <headerFooter>
    <oddHeader xml:space="preserve">&amp;RSSA-2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Layout" zoomScaleNormal="100" workbookViewId="0">
      <selection activeCell="C5" sqref="C5"/>
    </sheetView>
  </sheetViews>
  <sheetFormatPr defaultRowHeight="14.5" x14ac:dyDescent="0.35"/>
  <cols>
    <col min="1" max="1" width="44.453125" customWidth="1"/>
    <col min="2" max="10" width="15.453125" customWidth="1"/>
  </cols>
  <sheetData>
    <row r="1" spans="1:11" ht="23.5" x14ac:dyDescent="0.55000000000000004">
      <c r="A1" s="86" t="s">
        <v>53</v>
      </c>
      <c r="B1" s="87"/>
      <c r="C1" s="87"/>
      <c r="D1" s="87"/>
      <c r="E1" s="87"/>
      <c r="F1" s="87"/>
      <c r="G1" s="87"/>
      <c r="H1" s="87"/>
      <c r="I1" s="87"/>
      <c r="J1" s="88"/>
    </row>
    <row r="2" spans="1:11" x14ac:dyDescent="0.35">
      <c r="A2" s="5" t="s">
        <v>0</v>
      </c>
      <c r="B2" s="83" t="s">
        <v>1</v>
      </c>
      <c r="C2" s="84"/>
      <c r="D2" s="85"/>
      <c r="E2" s="83" t="s">
        <v>2</v>
      </c>
      <c r="F2" s="84"/>
      <c r="G2" s="85"/>
      <c r="H2" s="83" t="s">
        <v>3</v>
      </c>
      <c r="I2" s="84"/>
      <c r="J2" s="85"/>
      <c r="K2" s="7"/>
    </row>
    <row r="3" spans="1:11" x14ac:dyDescent="0.35">
      <c r="A3" s="3"/>
      <c r="B3" s="8" t="s">
        <v>9</v>
      </c>
      <c r="C3" s="9" t="s">
        <v>10</v>
      </c>
      <c r="D3" s="10" t="s">
        <v>11</v>
      </c>
      <c r="E3" s="8" t="s">
        <v>9</v>
      </c>
      <c r="F3" s="9" t="s">
        <v>10</v>
      </c>
      <c r="G3" s="10" t="s">
        <v>11</v>
      </c>
      <c r="H3" s="8" t="s">
        <v>9</v>
      </c>
      <c r="I3" s="9" t="s">
        <v>10</v>
      </c>
      <c r="J3" s="10" t="s">
        <v>11</v>
      </c>
    </row>
    <row r="4" spans="1:11" x14ac:dyDescent="0.35">
      <c r="A4" s="3" t="s">
        <v>4</v>
      </c>
      <c r="B4" s="20">
        <f>$B$38/B46</f>
        <v>9.7474655219654763E-3</v>
      </c>
      <c r="C4" s="22">
        <f>$B$38/C46</f>
        <v>9.9859649122807023E-3</v>
      </c>
      <c r="D4" s="24">
        <f>$B$38/D46</f>
        <v>1.1662022619242747E-2</v>
      </c>
      <c r="E4" s="20">
        <f>$C$38/B46</f>
        <v>8.4665266234359299E-3</v>
      </c>
      <c r="F4" s="22">
        <f t="shared" ref="F4:G4" si="0">$C$38/C46</f>
        <v>8.6736842105263161E-3</v>
      </c>
      <c r="G4" s="24">
        <f t="shared" si="0"/>
        <v>1.0129486969349287E-2</v>
      </c>
      <c r="H4" s="20">
        <f>$D$38/B46</f>
        <v>1.0007763266051696E-2</v>
      </c>
      <c r="I4" s="22">
        <f t="shared" ref="I4:J4" si="1">$D$38/C46</f>
        <v>1.0252631578947369E-2</v>
      </c>
      <c r="J4" s="24">
        <f t="shared" si="1"/>
        <v>1.1973446975905589E-2</v>
      </c>
    </row>
    <row r="5" spans="1:11" x14ac:dyDescent="0.35">
      <c r="A5" s="3" t="s">
        <v>5</v>
      </c>
      <c r="B5" s="20">
        <f t="shared" ref="B5:D7" si="2">$B$38/B47</f>
        <v>1.2836781332691845E-2</v>
      </c>
      <c r="C5" s="22">
        <f t="shared" si="2"/>
        <v>1.1858333333333334E-2</v>
      </c>
      <c r="D5" s="11"/>
      <c r="E5" s="20">
        <f t="shared" ref="E5:E7" si="3">$C$38/B47</f>
        <v>1.114986769304787E-2</v>
      </c>
      <c r="F5" s="22">
        <f t="shared" ref="F5:F7" si="4">$C$38/C47</f>
        <v>1.03E-2</v>
      </c>
      <c r="G5" s="24"/>
      <c r="H5" s="20">
        <f t="shared" ref="H5:H7" si="5">$D$38/B47</f>
        <v>1.3179576617753187E-2</v>
      </c>
      <c r="I5" s="22">
        <f t="shared" ref="I5:I7" si="6">$D$38/C47</f>
        <v>1.2175000000000002E-2</v>
      </c>
      <c r="J5" s="24"/>
    </row>
    <row r="6" spans="1:11" x14ac:dyDescent="0.35">
      <c r="A6" s="3" t="s">
        <v>6</v>
      </c>
      <c r="B6" s="20">
        <f t="shared" si="2"/>
        <v>7.6264827783335725E-3</v>
      </c>
      <c r="C6" s="22">
        <f t="shared" si="2"/>
        <v>8.6242424242424232E-3</v>
      </c>
      <c r="D6" s="24">
        <f t="shared" si="2"/>
        <v>1.1405807904713813E-2</v>
      </c>
      <c r="E6" s="20">
        <f t="shared" si="3"/>
        <v>6.6242675432328143E-3</v>
      </c>
      <c r="F6" s="22">
        <f t="shared" si="4"/>
        <v>7.4909090909090897E-3</v>
      </c>
      <c r="G6" s="24">
        <f t="shared" ref="G6:G7" si="7">$C$38/D48</f>
        <v>9.9069420732440412E-3</v>
      </c>
      <c r="H6" s="20">
        <f t="shared" si="5"/>
        <v>7.8301414892096629E-3</v>
      </c>
      <c r="I6" s="22">
        <f t="shared" si="6"/>
        <v>8.8545454545454552E-3</v>
      </c>
      <c r="J6" s="24">
        <f t="shared" ref="J6:J7" si="8">$D$38/D48</f>
        <v>1.1710390266188954E-2</v>
      </c>
    </row>
    <row r="7" spans="1:11" x14ac:dyDescent="0.35">
      <c r="A7" s="4" t="s">
        <v>47</v>
      </c>
      <c r="B7" s="21">
        <f t="shared" si="2"/>
        <v>8.7243521621842551E-3</v>
      </c>
      <c r="C7" s="23">
        <f t="shared" si="2"/>
        <v>8.6504559270516711E-3</v>
      </c>
      <c r="D7" s="25">
        <f t="shared" si="2"/>
        <v>1.1419629243238905E-2</v>
      </c>
      <c r="E7" s="21">
        <f t="shared" si="3"/>
        <v>7.5778631570342508E-3</v>
      </c>
      <c r="F7" s="23">
        <f t="shared" si="4"/>
        <v>7.5136778115501507E-3</v>
      </c>
      <c r="G7" s="25">
        <f t="shared" si="7"/>
        <v>9.9189471149987961E-3</v>
      </c>
      <c r="H7" s="21">
        <f t="shared" si="5"/>
        <v>8.957328537562332E-3</v>
      </c>
      <c r="I7" s="23">
        <f t="shared" si="6"/>
        <v>8.8814589665653487E-3</v>
      </c>
      <c r="J7" s="25">
        <f t="shared" si="8"/>
        <v>1.1724580691758286E-2</v>
      </c>
    </row>
    <row r="8" spans="1:11" x14ac:dyDescent="0.35">
      <c r="A8" s="5" t="s">
        <v>7</v>
      </c>
      <c r="B8" s="83" t="s">
        <v>1</v>
      </c>
      <c r="C8" s="84"/>
      <c r="D8" s="85"/>
      <c r="E8" s="83" t="s">
        <v>2</v>
      </c>
      <c r="F8" s="84"/>
      <c r="G8" s="85"/>
      <c r="H8" s="83" t="s">
        <v>3</v>
      </c>
      <c r="I8" s="84"/>
      <c r="J8" s="85"/>
    </row>
    <row r="9" spans="1:11" x14ac:dyDescent="0.35">
      <c r="A9" s="3"/>
      <c r="B9" s="8" t="s">
        <v>9</v>
      </c>
      <c r="C9" s="9" t="s">
        <v>10</v>
      </c>
      <c r="D9" s="10" t="s">
        <v>11</v>
      </c>
      <c r="E9" s="8" t="s">
        <v>9</v>
      </c>
      <c r="F9" s="9" t="s">
        <v>10</v>
      </c>
      <c r="G9" s="10" t="s">
        <v>11</v>
      </c>
      <c r="H9" s="8" t="s">
        <v>9</v>
      </c>
      <c r="I9" s="9" t="s">
        <v>10</v>
      </c>
      <c r="J9" s="10" t="s">
        <v>11</v>
      </c>
    </row>
    <row r="10" spans="1:11" x14ac:dyDescent="0.35">
      <c r="A10" s="3" t="s">
        <v>4</v>
      </c>
      <c r="B10" s="20">
        <f>$B$39/B46</f>
        <v>9.5145675404146503E-3</v>
      </c>
      <c r="C10" s="22">
        <f t="shared" ref="C10:D10" si="9">$B$39/C46</f>
        <v>9.747368421052633E-3</v>
      </c>
      <c r="D10" s="24">
        <f t="shared" si="9"/>
        <v>1.1383379773807573E-2</v>
      </c>
      <c r="E10" s="20">
        <f>$C$39/B46</f>
        <v>8.1788291168143207E-3</v>
      </c>
      <c r="F10" s="22">
        <f t="shared" ref="F10:G10" si="10">$C$39/C46</f>
        <v>8.3789473684210535E-3</v>
      </c>
      <c r="G10" s="24">
        <f t="shared" si="10"/>
        <v>9.785281101458777E-3</v>
      </c>
      <c r="H10" s="20">
        <f>$D$39/B46</f>
        <v>8.5487259110421047E-3</v>
      </c>
      <c r="I10" s="22">
        <f t="shared" ref="I10:J10" si="11">$D$39/C46</f>
        <v>8.7578947368421051E-3</v>
      </c>
      <c r="J10" s="24">
        <f t="shared" si="11"/>
        <v>1.0227831503032289E-2</v>
      </c>
    </row>
    <row r="11" spans="1:11" x14ac:dyDescent="0.35">
      <c r="A11" s="3" t="s">
        <v>5</v>
      </c>
      <c r="B11" s="20">
        <f t="shared" ref="B11:C11" si="12">$B$39/B47</f>
        <v>1.2530069761847487E-2</v>
      </c>
      <c r="C11" s="22">
        <f t="shared" si="12"/>
        <v>1.1575E-2</v>
      </c>
      <c r="D11" s="24"/>
      <c r="E11" s="20">
        <f t="shared" ref="E11:E13" si="13">$C$39/B47</f>
        <v>1.0770988693769546E-2</v>
      </c>
      <c r="F11" s="22">
        <f t="shared" ref="F11:F13" si="14">$C$39/C47</f>
        <v>9.9500000000000005E-3</v>
      </c>
      <c r="G11" s="24"/>
      <c r="H11" s="20">
        <f t="shared" ref="H11:H13" si="15">$D$39/B47</f>
        <v>1.1258118835698822E-2</v>
      </c>
      <c r="I11" s="22">
        <f t="shared" ref="I11:I13" si="16">$D$39/C47</f>
        <v>1.04E-2</v>
      </c>
      <c r="J11" s="24"/>
    </row>
    <row r="12" spans="1:11" x14ac:dyDescent="0.35">
      <c r="A12" s="3" t="s">
        <v>6</v>
      </c>
      <c r="B12" s="20">
        <f t="shared" ref="B12:D12" si="17">$B$39/B48</f>
        <v>7.4442618264970711E-3</v>
      </c>
      <c r="C12" s="22">
        <f t="shared" si="17"/>
        <v>8.4181818181818177E-3</v>
      </c>
      <c r="D12" s="24">
        <f t="shared" si="17"/>
        <v>1.1133286844446583E-2</v>
      </c>
      <c r="E12" s="20">
        <f t="shared" si="13"/>
        <v>6.3991710733171366E-3</v>
      </c>
      <c r="F12" s="22">
        <f t="shared" si="14"/>
        <v>7.2363636363636354E-3</v>
      </c>
      <c r="G12" s="24">
        <f t="shared" ref="G12:G13" si="18">$C$39/D48</f>
        <v>9.5702984105609928E-3</v>
      </c>
      <c r="H12" s="20">
        <f t="shared" si="15"/>
        <v>6.6885808203515796E-3</v>
      </c>
      <c r="I12" s="22">
        <f t="shared" si="16"/>
        <v>7.5636363636363635E-3</v>
      </c>
      <c r="J12" s="24">
        <f t="shared" ref="J12:J13" si="19">$D$39/D48</f>
        <v>1.0003125976867771E-2</v>
      </c>
    </row>
    <row r="13" spans="1:11" x14ac:dyDescent="0.35">
      <c r="A13" s="4" t="s">
        <v>47</v>
      </c>
      <c r="B13" s="21">
        <f t="shared" ref="B13:D13" si="20">$B$39/B49</f>
        <v>8.5158996157933455E-3</v>
      </c>
      <c r="C13" s="23">
        <f t="shared" si="20"/>
        <v>8.4437689969604855E-3</v>
      </c>
      <c r="D13" s="25">
        <f t="shared" si="20"/>
        <v>1.1146777947195249E-2</v>
      </c>
      <c r="E13" s="21">
        <f t="shared" si="13"/>
        <v>7.3203629526690092E-3</v>
      </c>
      <c r="F13" s="23">
        <f t="shared" si="14"/>
        <v>7.2583586626139814E-3</v>
      </c>
      <c r="G13" s="25">
        <f t="shared" si="18"/>
        <v>9.581895514003692E-3</v>
      </c>
      <c r="H13" s="21">
        <f t="shared" si="15"/>
        <v>7.6514346439957486E-3</v>
      </c>
      <c r="I13" s="23">
        <f t="shared" si="16"/>
        <v>7.5866261398176288E-3</v>
      </c>
      <c r="J13" s="25">
        <f t="shared" si="19"/>
        <v>1.0015247572425969E-2</v>
      </c>
    </row>
    <row r="14" spans="1:11" x14ac:dyDescent="0.35">
      <c r="A14" s="5" t="s">
        <v>8</v>
      </c>
      <c r="B14" s="83" t="s">
        <v>1</v>
      </c>
      <c r="C14" s="84"/>
      <c r="D14" s="85"/>
      <c r="E14" s="83" t="s">
        <v>2</v>
      </c>
      <c r="F14" s="84"/>
      <c r="G14" s="85"/>
      <c r="H14" s="83" t="s">
        <v>3</v>
      </c>
      <c r="I14" s="84"/>
      <c r="J14" s="85"/>
    </row>
    <row r="15" spans="1:11" x14ac:dyDescent="0.35">
      <c r="A15" s="3"/>
      <c r="B15" s="8" t="s">
        <v>9</v>
      </c>
      <c r="C15" s="9" t="s">
        <v>10</v>
      </c>
      <c r="D15" s="10" t="s">
        <v>11</v>
      </c>
      <c r="E15" s="8" t="s">
        <v>9</v>
      </c>
      <c r="F15" s="9" t="s">
        <v>10</v>
      </c>
      <c r="G15" s="10" t="s">
        <v>11</v>
      </c>
      <c r="H15" s="8" t="s">
        <v>9</v>
      </c>
      <c r="I15" s="9" t="s">
        <v>10</v>
      </c>
      <c r="J15" s="10" t="s">
        <v>11</v>
      </c>
    </row>
    <row r="16" spans="1:11" x14ac:dyDescent="0.35">
      <c r="A16" s="3" t="s">
        <v>4</v>
      </c>
      <c r="B16" s="20">
        <f>$B$40/B46</f>
        <v>8.1377294730112341E-3</v>
      </c>
      <c r="C16" s="22">
        <f t="shared" ref="C16:D16" si="21">$B$40/C46</f>
        <v>8.3368421052631581E-3</v>
      </c>
      <c r="D16" s="24">
        <f t="shared" si="21"/>
        <v>9.7361088346172766E-3</v>
      </c>
      <c r="E16" s="20">
        <f>$C$40/B46</f>
        <v>9.2542697963284327E-3</v>
      </c>
      <c r="F16" s="22">
        <f t="shared" ref="F16:G16" si="22">$C$40/C46</f>
        <v>9.4807017543859663E-3</v>
      </c>
      <c r="G16" s="24">
        <f t="shared" si="22"/>
        <v>1.107195541714473E-2</v>
      </c>
      <c r="H16" s="20">
        <f>$D$40/B46</f>
        <v>8.3500776326605186E-3</v>
      </c>
      <c r="I16" s="22">
        <f t="shared" ref="I16:J16" si="23">$D$40/C46</f>
        <v>8.5543859649122814E-3</v>
      </c>
      <c r="J16" s="24">
        <f t="shared" si="23"/>
        <v>9.9901655466317005E-3</v>
      </c>
    </row>
    <row r="17" spans="1:10" x14ac:dyDescent="0.35">
      <c r="A17" s="3" t="s">
        <v>5</v>
      </c>
      <c r="B17" s="20">
        <f t="shared" ref="B17:C17" si="24">$B$40/B47</f>
        <v>1.0716863122444071E-2</v>
      </c>
      <c r="C17" s="22">
        <f t="shared" si="24"/>
        <v>9.9000000000000008E-3</v>
      </c>
      <c r="D17" s="24"/>
      <c r="E17" s="20">
        <f t="shared" ref="E17:E19" si="25">$C$40/B47</f>
        <v>1.2187274476786143E-2</v>
      </c>
      <c r="F17" s="22">
        <f t="shared" ref="F17:F19" si="26">$C$40/C47</f>
        <v>1.1258333333333334E-2</v>
      </c>
      <c r="G17" s="24"/>
      <c r="H17" s="20">
        <f t="shared" ref="H17:H19" si="27">$D$40/B47</f>
        <v>1.0996511907625692E-2</v>
      </c>
      <c r="I17" s="22">
        <f t="shared" ref="I17:I19" si="28">$D$40/C47</f>
        <v>1.0158333333333333E-2</v>
      </c>
      <c r="J17" s="24"/>
    </row>
    <row r="18" spans="1:10" x14ac:dyDescent="0.35">
      <c r="A18" s="3" t="s">
        <v>6</v>
      </c>
      <c r="B18" s="20">
        <f t="shared" ref="B18:D18" si="29">$B$40/B48</f>
        <v>6.3670144347577539E-3</v>
      </c>
      <c r="C18" s="22">
        <f t="shared" si="29"/>
        <v>7.1999999999999998E-3</v>
      </c>
      <c r="D18" s="24">
        <f t="shared" si="29"/>
        <v>9.522206458749129E-3</v>
      </c>
      <c r="E18" s="20">
        <f t="shared" si="25"/>
        <v>7.2406031156209806E-3</v>
      </c>
      <c r="F18" s="22">
        <f t="shared" si="26"/>
        <v>8.1878787878787874E-3</v>
      </c>
      <c r="G18" s="24">
        <f t="shared" ref="G18:G19" si="30">$C$40/D48</f>
        <v>1.0828704482971442E-2</v>
      </c>
      <c r="H18" s="20">
        <f t="shared" si="27"/>
        <v>6.533157067314564E-3</v>
      </c>
      <c r="I18" s="22">
        <f t="shared" si="28"/>
        <v>7.3878787878787879E-3</v>
      </c>
      <c r="J18" s="24">
        <f t="shared" ref="J18:J19" si="31">$D$40/D48</f>
        <v>9.770681543110428E-3</v>
      </c>
    </row>
    <row r="19" spans="1:10" x14ac:dyDescent="0.35">
      <c r="A19" s="4" t="s">
        <v>47</v>
      </c>
      <c r="B19" s="21">
        <f t="shared" ref="B19:D19" si="32">$B$40/B49</f>
        <v>7.2835772091882607E-3</v>
      </c>
      <c r="C19" s="23">
        <f t="shared" si="32"/>
        <v>7.2218844984802428E-3</v>
      </c>
      <c r="D19" s="25">
        <f t="shared" si="32"/>
        <v>9.5337452852901055E-3</v>
      </c>
      <c r="E19" s="21">
        <f t="shared" si="25"/>
        <v>8.2829232404152704E-3</v>
      </c>
      <c r="F19" s="23">
        <f t="shared" si="26"/>
        <v>8.2127659574468079E-3</v>
      </c>
      <c r="G19" s="25">
        <f t="shared" si="30"/>
        <v>1.0841826498675869E-2</v>
      </c>
      <c r="H19" s="21">
        <f t="shared" si="27"/>
        <v>7.4736368838387961E-3</v>
      </c>
      <c r="I19" s="23">
        <f t="shared" si="28"/>
        <v>7.4103343465045587E-3</v>
      </c>
      <c r="J19" s="25">
        <f t="shared" si="31"/>
        <v>9.7825214669769681E-3</v>
      </c>
    </row>
    <row r="21" spans="1:10" x14ac:dyDescent="0.35">
      <c r="A21" s="82" t="s">
        <v>12</v>
      </c>
      <c r="B21" s="82"/>
      <c r="C21" s="82"/>
      <c r="D21" s="82"/>
    </row>
    <row r="22" spans="1:10" x14ac:dyDescent="0.35">
      <c r="A22" s="13" t="s">
        <v>13</v>
      </c>
      <c r="B22" s="6">
        <v>2023</v>
      </c>
      <c r="C22" s="6">
        <v>2024</v>
      </c>
      <c r="D22" s="6">
        <v>2025</v>
      </c>
    </row>
    <row r="23" spans="1:10" x14ac:dyDescent="0.35">
      <c r="A23" s="13" t="s">
        <v>0</v>
      </c>
      <c r="B23" s="14">
        <f>'ZEC Collections and Price'!B8</f>
        <v>9336881.5</v>
      </c>
      <c r="C23" s="14">
        <f>'ZEC Collections and Price'!D8</f>
        <v>8914871.265625</v>
      </c>
      <c r="D23" s="14">
        <f>'ZEC Collections and Price'!F8</f>
        <v>10198627.125</v>
      </c>
    </row>
    <row r="24" spans="1:10" x14ac:dyDescent="0.35">
      <c r="A24" s="13" t="s">
        <v>7</v>
      </c>
      <c r="B24" s="14">
        <f>'ZEC Collections and Price'!B9</f>
        <v>9115727.9328514189</v>
      </c>
      <c r="C24" s="14">
        <f>'ZEC Collections and Price'!D9</f>
        <v>8613688.1640829127</v>
      </c>
      <c r="D24" s="14">
        <f>'ZEC Collections and Price'!F9</f>
        <v>8718125.9934027195</v>
      </c>
    </row>
    <row r="25" spans="1:10" x14ac:dyDescent="0.35">
      <c r="A25" s="13" t="s">
        <v>8</v>
      </c>
      <c r="B25" s="15">
        <f>'ZEC Collections and Price'!B10</f>
        <v>7795792.2182546603</v>
      </c>
      <c r="C25" s="15">
        <f>'ZEC Collections and Price'!D10</f>
        <v>9745852.5844800547</v>
      </c>
      <c r="D25" s="15">
        <f>'ZEC Collections and Price'!F10</f>
        <v>8512269.1767549179</v>
      </c>
    </row>
    <row r="26" spans="1:10" x14ac:dyDescent="0.35">
      <c r="B26" s="14">
        <f>SUM(B23:B25)</f>
        <v>26248401.651106078</v>
      </c>
      <c r="C26" s="14">
        <f t="shared" ref="C26:D26" si="33">SUM(C23:C25)</f>
        <v>27274412.014187969</v>
      </c>
      <c r="D26" s="14">
        <f t="shared" si="33"/>
        <v>27429022.295157637</v>
      </c>
    </row>
    <row r="28" spans="1:10" x14ac:dyDescent="0.35">
      <c r="A28" s="82" t="s">
        <v>14</v>
      </c>
      <c r="B28" s="82"/>
      <c r="C28" s="82"/>
      <c r="D28" s="82"/>
    </row>
    <row r="29" spans="1:10" x14ac:dyDescent="0.35">
      <c r="A29" s="13" t="s">
        <v>13</v>
      </c>
      <c r="B29" s="6">
        <v>2023</v>
      </c>
      <c r="C29" s="6">
        <v>2024</v>
      </c>
      <c r="D29" s="6">
        <v>2025</v>
      </c>
    </row>
    <row r="30" spans="1:10" x14ac:dyDescent="0.35">
      <c r="A30" s="13" t="s">
        <v>0</v>
      </c>
      <c r="B30" s="16">
        <f>B23/$B$26</f>
        <v>0.35571238295214652</v>
      </c>
      <c r="C30" s="16">
        <f>C23/$C$26</f>
        <v>0.32685842176863583</v>
      </c>
      <c r="D30" s="16">
        <f>D23/$D$26</f>
        <v>0.37181883536550558</v>
      </c>
    </row>
    <row r="31" spans="1:10" x14ac:dyDescent="0.35">
      <c r="A31" s="13" t="s">
        <v>7</v>
      </c>
      <c r="B31" s="16">
        <f t="shared" ref="B31:B32" si="34">B24/$B$26</f>
        <v>0.34728697213711268</v>
      </c>
      <c r="C31" s="16">
        <f t="shared" ref="C31:C32" si="35">C24/$C$26</f>
        <v>0.31581572352878329</v>
      </c>
      <c r="D31" s="16">
        <f t="shared" ref="D31:D32" si="36">D24/$D$26</f>
        <v>0.31784311885377814</v>
      </c>
    </row>
    <row r="32" spans="1:10" x14ac:dyDescent="0.35">
      <c r="A32" s="13" t="s">
        <v>8</v>
      </c>
      <c r="B32" s="16">
        <f t="shared" si="34"/>
        <v>0.29700064491074085</v>
      </c>
      <c r="C32" s="16">
        <f t="shared" si="35"/>
        <v>0.35732585470258083</v>
      </c>
      <c r="D32" s="16">
        <f t="shared" si="36"/>
        <v>0.31033804578071628</v>
      </c>
    </row>
    <row r="34" spans="1:10" x14ac:dyDescent="0.35">
      <c r="A34" s="13" t="s">
        <v>15</v>
      </c>
      <c r="B34" s="74">
        <f>'ZEC Collections and Price'!B21</f>
        <v>4.0000000000000001E-3</v>
      </c>
      <c r="C34">
        <f>'ZEC Collections and Price'!D21</f>
        <v>3.7799999999999999E-3</v>
      </c>
      <c r="D34">
        <f>'ZEC Collections and Price'!F21</f>
        <v>3.9280000000000001E-3</v>
      </c>
    </row>
    <row r="36" spans="1:10" x14ac:dyDescent="0.35">
      <c r="A36" s="82" t="s">
        <v>16</v>
      </c>
      <c r="B36" s="82"/>
      <c r="C36" s="82"/>
      <c r="D36" s="82"/>
    </row>
    <row r="37" spans="1:10" x14ac:dyDescent="0.35">
      <c r="A37" s="13" t="s">
        <v>13</v>
      </c>
      <c r="B37" s="6">
        <v>2023</v>
      </c>
      <c r="C37" s="6">
        <v>2024</v>
      </c>
      <c r="D37" s="6">
        <v>2025</v>
      </c>
    </row>
    <row r="38" spans="1:10" x14ac:dyDescent="0.35">
      <c r="A38" s="13" t="s">
        <v>0</v>
      </c>
      <c r="B38" s="18">
        <f>ROUND($B$34*B30,6)</f>
        <v>1.423E-3</v>
      </c>
      <c r="C38" s="18">
        <f>ROUND($C$34*C30,6)</f>
        <v>1.2359999999999999E-3</v>
      </c>
      <c r="D38" s="18">
        <f>ROUND($D$34*D30,6)</f>
        <v>1.4610000000000001E-3</v>
      </c>
    </row>
    <row r="39" spans="1:10" x14ac:dyDescent="0.35">
      <c r="A39" s="13" t="s">
        <v>7</v>
      </c>
      <c r="B39" s="18">
        <f t="shared" ref="B39:B40" si="37">ROUND($B$34*B31,6)</f>
        <v>1.389E-3</v>
      </c>
      <c r="C39" s="18">
        <f t="shared" ref="C39:C40" si="38">ROUND($C$34*C31,6)</f>
        <v>1.194E-3</v>
      </c>
      <c r="D39" s="18">
        <f t="shared" ref="D39:D40" si="39">ROUND($D$34*D31,6)</f>
        <v>1.248E-3</v>
      </c>
    </row>
    <row r="40" spans="1:10" x14ac:dyDescent="0.35">
      <c r="A40" s="13" t="s">
        <v>8</v>
      </c>
      <c r="B40" s="18">
        <f t="shared" si="37"/>
        <v>1.188E-3</v>
      </c>
      <c r="C40" s="18">
        <f t="shared" si="38"/>
        <v>1.351E-3</v>
      </c>
      <c r="D40" s="18">
        <f t="shared" si="39"/>
        <v>1.219E-3</v>
      </c>
    </row>
    <row r="42" spans="1:10" x14ac:dyDescent="0.35">
      <c r="A42" s="82" t="s">
        <v>50</v>
      </c>
      <c r="B42" s="82"/>
      <c r="C42" s="82"/>
      <c r="D42" s="82"/>
      <c r="E42" s="82"/>
      <c r="F42" s="82"/>
      <c r="G42" s="82"/>
      <c r="H42" s="82"/>
      <c r="I42" s="82"/>
      <c r="J42" s="82"/>
    </row>
    <row r="43" spans="1:10" x14ac:dyDescent="0.35">
      <c r="B43" s="6" t="s">
        <v>9</v>
      </c>
      <c r="C43" s="6" t="s">
        <v>10</v>
      </c>
      <c r="D43" s="6" t="s">
        <v>11</v>
      </c>
      <c r="E43" s="6" t="s">
        <v>9</v>
      </c>
      <c r="F43" s="6" t="s">
        <v>10</v>
      </c>
      <c r="G43" s="6" t="s">
        <v>11</v>
      </c>
      <c r="H43" s="26" t="s">
        <v>19</v>
      </c>
    </row>
    <row r="44" spans="1:10" x14ac:dyDescent="0.35">
      <c r="A44" s="2" t="s">
        <v>17</v>
      </c>
      <c r="F44">
        <v>40</v>
      </c>
      <c r="G44">
        <v>1000</v>
      </c>
      <c r="H44" s="81" t="s">
        <v>51</v>
      </c>
      <c r="I44" s="81"/>
      <c r="J44" s="81"/>
    </row>
    <row r="45" spans="1:10" ht="12.75" customHeight="1" x14ac:dyDescent="0.35">
      <c r="A45" s="2" t="s">
        <v>18</v>
      </c>
      <c r="E45">
        <v>750</v>
      </c>
      <c r="F45">
        <v>10000</v>
      </c>
      <c r="G45">
        <v>400000</v>
      </c>
      <c r="H45" s="81" t="s">
        <v>52</v>
      </c>
      <c r="I45" s="81"/>
      <c r="J45" s="81"/>
    </row>
    <row r="46" spans="1:10" ht="36" customHeight="1" x14ac:dyDescent="0.35">
      <c r="A46" s="19" t="s">
        <v>4</v>
      </c>
      <c r="B46" s="17">
        <f>E46/$E$45</f>
        <v>0.14598666666666665</v>
      </c>
      <c r="C46">
        <f>ROUND(F46/$F$45,6)</f>
        <v>0.14249999999999999</v>
      </c>
      <c r="D46" s="17">
        <f>ROUND(G46/$G$45,6)</f>
        <v>0.12202</v>
      </c>
      <c r="E46" s="73">
        <f>112.49-($E$45*$B$34)</f>
        <v>109.49</v>
      </c>
      <c r="F46" s="73">
        <f>1465-($F$45*$B$34)</f>
        <v>1425</v>
      </c>
      <c r="G46" s="73">
        <f>50408-($G$45*$B$34)</f>
        <v>48808</v>
      </c>
      <c r="H46" s="81" t="s">
        <v>48</v>
      </c>
      <c r="I46" s="81"/>
      <c r="J46" s="81"/>
    </row>
    <row r="47" spans="1:10" ht="20.25" customHeight="1" x14ac:dyDescent="0.35">
      <c r="A47" s="19" t="s">
        <v>5</v>
      </c>
      <c r="B47" s="17">
        <f t="shared" ref="B47:B49" si="40">E47/$E$45</f>
        <v>0.11085333333333333</v>
      </c>
      <c r="C47">
        <f t="shared" ref="C47:C49" si="41">ROUND(F47/$F$45,6)</f>
        <v>0.12</v>
      </c>
      <c r="D47" s="17">
        <f t="shared" ref="D47:D49" si="42">ROUND(G47/$G$45,6)</f>
        <v>0</v>
      </c>
      <c r="E47" s="73">
        <f>86.14-($E$45*$B$34)</f>
        <v>83.14</v>
      </c>
      <c r="F47" s="73">
        <f>1240-($F$45*$B$34)</f>
        <v>1200</v>
      </c>
      <c r="G47" s="73"/>
      <c r="H47" s="81" t="s">
        <v>49</v>
      </c>
      <c r="I47" s="81"/>
      <c r="J47" s="81"/>
    </row>
    <row r="48" spans="1:10" x14ac:dyDescent="0.35">
      <c r="A48" s="19" t="s">
        <v>6</v>
      </c>
      <c r="B48" s="17">
        <f t="shared" si="40"/>
        <v>0.18658666666666665</v>
      </c>
      <c r="C48" s="17">
        <f t="shared" si="41"/>
        <v>0.16500000000000001</v>
      </c>
      <c r="D48" s="17">
        <f t="shared" si="42"/>
        <v>0.124761</v>
      </c>
      <c r="E48" s="73">
        <f>142.94-($E$45*$B$34)</f>
        <v>139.94</v>
      </c>
      <c r="F48" s="73">
        <f>1690-($F$45*$B$34)</f>
        <v>1650</v>
      </c>
      <c r="G48" s="73">
        <f>49904.27</f>
        <v>49904.27</v>
      </c>
      <c r="H48" s="81" t="s">
        <v>20</v>
      </c>
      <c r="I48" s="81"/>
      <c r="J48" s="81"/>
    </row>
    <row r="49" spans="1:10" x14ac:dyDescent="0.35">
      <c r="A49" s="19" t="s">
        <v>47</v>
      </c>
      <c r="B49" s="17">
        <f t="shared" si="40"/>
        <v>0.16310666666666668</v>
      </c>
      <c r="C49">
        <f t="shared" si="41"/>
        <v>0.16450000000000001</v>
      </c>
      <c r="D49" s="17">
        <f t="shared" si="42"/>
        <v>0.12461</v>
      </c>
      <c r="E49" s="73">
        <f>125.33-($E$45*$B$34)</f>
        <v>122.33</v>
      </c>
      <c r="F49" s="73">
        <f>1685-($F$45*$B$34)</f>
        <v>1645</v>
      </c>
      <c r="G49" s="73">
        <f>49884-($F$45*$B$34)</f>
        <v>49844</v>
      </c>
      <c r="H49" s="81" t="s">
        <v>21</v>
      </c>
      <c r="I49" s="81"/>
      <c r="J49" s="81"/>
    </row>
    <row r="50" spans="1:10" x14ac:dyDescent="0.35">
      <c r="H50" s="81" t="s">
        <v>22</v>
      </c>
      <c r="I50" s="81"/>
      <c r="J50" s="81"/>
    </row>
  </sheetData>
  <mergeCells count="21">
    <mergeCell ref="B2:D2"/>
    <mergeCell ref="E2:G2"/>
    <mergeCell ref="H2:J2"/>
    <mergeCell ref="A1:J1"/>
    <mergeCell ref="B8:D8"/>
    <mergeCell ref="E8:G8"/>
    <mergeCell ref="H8:J8"/>
    <mergeCell ref="A42:J42"/>
    <mergeCell ref="H45:J45"/>
    <mergeCell ref="B14:D14"/>
    <mergeCell ref="E14:G14"/>
    <mergeCell ref="H14:J14"/>
    <mergeCell ref="A21:D21"/>
    <mergeCell ref="A28:D28"/>
    <mergeCell ref="A36:D36"/>
    <mergeCell ref="H46:J46"/>
    <mergeCell ref="H47:J47"/>
    <mergeCell ref="H49:J49"/>
    <mergeCell ref="H50:J50"/>
    <mergeCell ref="H44:J44"/>
    <mergeCell ref="H48:J48"/>
  </mergeCells>
  <pageMargins left="0.7" right="0.7" top="0.75" bottom="0.75" header="0.3" footer="0.3"/>
  <pageSetup scale="66" orientation="landscape" horizontalDpi="1200" verticalDpi="1200" r:id="rId1"/>
  <headerFooter>
    <oddHeader xml:space="preserve">&amp;RSSA-2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Filing_x0020_Number xmlns="C32E8572-6BB6-41E5-AF14-AE162F6ABD0D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0x010100DE998F200576D3479FAA48F9271C410E</ContentType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998F200576D3479FAA48F9271C410E" ma:contentTypeVersion="" ma:contentTypeDescription="Create a new document." ma:contentTypeScope="" ma:versionID="1c563cf0cb33b00c3a92616e771dff31">
  <xsd:schema xmlns:xsd="http://www.w3.org/2001/XMLSchema" xmlns:xs="http://www.w3.org/2001/XMLSchema" xmlns:p="http://schemas.microsoft.com/office/2006/metadata/properties" xmlns:ns1="http://schemas.microsoft.com/sharepoint/v3" xmlns:ns2="C32E8572-6BB6-41E5-AF14-AE162F6ABD0D" targetNamespace="http://schemas.microsoft.com/office/2006/metadata/properties" ma:root="true" ma:fieldsID="60a5416a2973d9b04c67ef0336529d21" ns1:_="" ns2:_="">
    <xsd:import namespace="http://schemas.microsoft.com/sharepoint/v3"/>
    <xsd:import namespace="C32E8572-6BB6-41E5-AF14-AE162F6ABD0D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Filing_x0020_Number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10" nillable="true" ma:displayName="Content Type ID" ma:hidden="true" ma:internalName="ContentTypeId" ma:readOnly="true">
      <xsd:simpleType>
        <xsd:restriction base="dms:Unknown"/>
      </xsd:simpleType>
    </xsd:element>
    <xsd:element name="TemplateUrl" ma:index="11" nillable="true" ma:displayName="Template Link" ma:hidden="true" ma:internalName="TemplateUrl">
      <xsd:simpleType>
        <xsd:restriction base="dms:Text"/>
      </xsd:simpleType>
    </xsd:element>
    <xsd:element name="xd_ProgID" ma:index="12" nillable="true" ma:displayName="HTML File Link" ma:hidden="true" ma:internalName="xd_ProgID">
      <xsd:simpleType>
        <xsd:restriction base="dms:Text"/>
      </xsd:simpleType>
    </xsd:element>
    <xsd:element name="xd_Signature" ma:index="13" nillable="true" ma:displayName="Is Signed" ma:hidden="true" ma:internalName="xd_Signature" ma:readOnly="true">
      <xsd:simpleType>
        <xsd:restriction base="dms:Boolean"/>
      </xsd:simpleType>
    </xsd:element>
    <xsd:element name="ID" ma:index="14" nillable="true" ma:displayName="ID" ma:internalName="ID" ma:readOnly="true">
      <xsd:simpleType>
        <xsd:restriction base="dms:Unknown"/>
      </xsd:simpleType>
    </xsd:element>
    <xsd:element name="Author" ma:index="17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9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0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1" nillable="true" ma:displayName="Copy Source" ma:internalName="_CopySource" ma:readOnly="true">
      <xsd:simpleType>
        <xsd:restriction base="dms:Text"/>
      </xsd:simpleType>
    </xsd:element>
    <xsd:element name="_ModerationStatus" ma:index="22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3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24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25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6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7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8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29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1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2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3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4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35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36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7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8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9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0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3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4" nillable="true" ma:displayName="Level" ma:hidden="true" ma:internalName="_Level" ma:readOnly="true">
      <xsd:simpleType>
        <xsd:restriction base="dms:Unknown"/>
      </xsd:simpleType>
    </xsd:element>
    <xsd:element name="_IsCurrentVersion" ma:index="55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56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7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1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2" nillable="true" ma:displayName="UI Version" ma:hidden="true" ma:internalName="_UIVersion" ma:readOnly="true">
      <xsd:simpleType>
        <xsd:restriction base="dms:Unknown"/>
      </xsd:simpleType>
    </xsd:element>
    <xsd:element name="_UIVersionString" ma:index="63" nillable="true" ma:displayName="Version" ma:internalName="_UIVersionString" ma:readOnly="true">
      <xsd:simpleType>
        <xsd:restriction base="dms:Text"/>
      </xsd:simpleType>
    </xsd:element>
    <xsd:element name="InstanceID" ma:index="64" nillable="true" ma:displayName="Instance ID" ma:hidden="true" ma:internalName="InstanceID" ma:readOnly="true">
      <xsd:simpleType>
        <xsd:restriction base="dms:Unknown"/>
      </xsd:simpleType>
    </xsd:element>
    <xsd:element name="Order" ma:index="65" nillable="true" ma:displayName="Order" ma:hidden="true" ma:internalName="Order">
      <xsd:simpleType>
        <xsd:restriction base="dms:Number"/>
      </xsd:simpleType>
    </xsd:element>
    <xsd:element name="GUID" ma:index="66" nillable="true" ma:displayName="GUID" ma:hidden="true" ma:internalName="GUID" ma:readOnly="true">
      <xsd:simpleType>
        <xsd:restriction base="dms:Unknown"/>
      </xsd:simpleType>
    </xsd:element>
    <xsd:element name="WorkflowVersion" ma:index="67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68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9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0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1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8572-6BB6-41E5-AF14-AE162F6ABD0D" elementFormDefault="qualified">
    <xsd:import namespace="http://schemas.microsoft.com/office/2006/documentManagement/types"/>
    <xsd:import namespace="http://schemas.microsoft.com/office/infopath/2007/PartnerControls"/>
    <xsd:element name="Filing_x0020_Number" ma:index="9" nillable="true" ma:displayName="Filing Number" ma:internalName="Filing_x0020_Number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125EAF-4030-4B52-8CA5-B622CF18ED66}"/>
</file>

<file path=customXml/itemProps2.xml><?xml version="1.0" encoding="utf-8"?>
<ds:datastoreItem xmlns:ds="http://schemas.openxmlformats.org/officeDocument/2006/customXml" ds:itemID="{D0EBE644-7227-442C-85B4-A20A3E905B22}"/>
</file>

<file path=customXml/itemProps3.xml><?xml version="1.0" encoding="utf-8"?>
<ds:datastoreItem xmlns:ds="http://schemas.openxmlformats.org/officeDocument/2006/customXml" ds:itemID="{A65A118D-E9E5-43F9-AEB6-0B2794D2D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ZEC Collections and Price</vt:lpstr>
      <vt:lpstr>Rate Class Impacts</vt:lpstr>
      <vt:lpstr>'Rate Class Impacts'!Print_Area</vt:lpstr>
      <vt:lpstr>'ZEC Collections and 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2020-09-15T14:54:18Z</dcterms:created>
  <dcterms:modified xsi:type="dcterms:W3CDTF">2020-09-15T14:54:28Z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0x010100381BA0B1DBEC2A40A6DD5ED15C5083AB</vt:lpwstr>
  </property>
</Properties>
</file>