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defaultThemeVersion="124226"/>
  <bookViews>
    <workbookView xWindow="0" yWindow="2280" windowWidth="15600" windowHeight="7110" tabRatio="799"/>
  </bookViews>
  <sheets>
    <sheet name="Summary" sheetId="14" r:id="rId1"/>
    <sheet name="Lifeline rate" sheetId="13" r:id="rId2"/>
    <sheet name="USF Rate Calc" sheetId="5" r:id="rId3"/>
    <sheet name="Gas State Recvd$ vs Costs" sheetId="9" r:id="rId4"/>
    <sheet name="Elec State Recvd$ vs Costs" sheetId="10" r:id="rId5"/>
    <sheet name="Prj.Sales" sheetId="6" r:id="rId6"/>
    <sheet name="Gas Pmts to State" sheetId="7" r:id="rId7"/>
    <sheet name="Elec  Pmts to State" sheetId="8" r:id="rId8"/>
    <sheet name="$ Transfer from State" sheetId="15" r:id="rId9"/>
    <sheet name="Summary Admin" sheetId="12" r:id="rId10"/>
    <sheet name="lifeline allocation" sheetId="16" r:id="rId11"/>
    <sheet name="transfersremittancesgas" sheetId="18" r:id="rId12"/>
    <sheet name="transfersremittanceselec" sheetId="17" r:id="rId13"/>
    <sheet name="PS INPUTS" sheetId="19" state="hidden" r:id="rId14"/>
    <sheet name="Sheet1" sheetId="20" r:id="rId15"/>
  </sheets>
  <definedNames>
    <definedName name="csDesignMode">1</definedName>
    <definedName name="_xlnm.Print_Area" localSheetId="8">'$ Transfer from State'!$A$1:$Q$51</definedName>
    <definedName name="_xlnm.Print_Area" localSheetId="7">'Elec  Pmts to State'!$A$1:$O$35</definedName>
    <definedName name="_xlnm.Print_Area" localSheetId="4">'Elec State Recvd$ vs Costs'!$A$1:$P$93</definedName>
    <definedName name="_xlnm.Print_Area" localSheetId="6">'Gas Pmts to State'!$A$1:$Q$40</definedName>
    <definedName name="_xlnm.Print_Area" localSheetId="3">'Gas State Recvd$ vs Costs'!$A$1:$Q$95</definedName>
    <definedName name="_xlnm.Print_Area" localSheetId="10">'lifeline allocation'!$A$1:$H$23</definedName>
    <definedName name="_xlnm.Print_Area" localSheetId="1">'Lifeline rate'!$A$1:$F$20</definedName>
    <definedName name="_xlnm.Print_Area" localSheetId="5">Prj.Sales!$A$1:$O$26</definedName>
    <definedName name="_xlnm.Print_Area" localSheetId="13">'PS INPUTS'!$A$1:$H$115</definedName>
    <definedName name="_xlnm.Print_Area" localSheetId="0">Summary!$A$1:$E$23</definedName>
    <definedName name="_xlnm.Print_Area" localSheetId="9">'Summary Admin'!$A$2:$O$43</definedName>
    <definedName name="_xlnm.Print_Area" localSheetId="12">transfersremittanceselec!$A$1:$L$50</definedName>
    <definedName name="_xlnm.Print_Area" localSheetId="11">transfersremittancesgas!$A$1:$L$52</definedName>
    <definedName name="_xlnm.Print_Area" localSheetId="2">'USF Rate Calc'!$A$1:$G$39</definedName>
    <definedName name="_xlnm.Print_Titles" localSheetId="7">'Elec  Pmts to State'!$A:$B,'Elec  Pmts to State'!$1:$5</definedName>
    <definedName name="_xlnm.Print_Titles" localSheetId="4">'Elec State Recvd$ vs Costs'!$A:$A,'Elec State Recvd$ vs Costs'!$1:$5</definedName>
    <definedName name="_xlnm.Print_Titles" localSheetId="6">'Gas Pmts to State'!$A:$B,'Gas Pmts to State'!$1:$5</definedName>
    <definedName name="_xlnm.Print_Titles" localSheetId="3">'Gas State Recvd$ vs Costs'!$A:$A,'Gas State Recvd$ vs Costs'!$1:$5</definedName>
    <definedName name="_xlnm.Print_Titles" localSheetId="12">transfersremittanceselec!$1:$5</definedName>
    <definedName name="_xlnm.Print_Titles" localSheetId="11">transfersremittancesgas!$1:$5</definedName>
  </definedNames>
  <calcPr calcId="145621"/>
</workbook>
</file>

<file path=xl/calcChain.xml><?xml version="1.0" encoding="utf-8"?>
<calcChain xmlns="http://schemas.openxmlformats.org/spreadsheetml/2006/main">
  <c r="C20" i="10" l="1"/>
  <c r="Q52" i="9"/>
  <c r="C20" i="9"/>
  <c r="D71" i="9" l="1"/>
  <c r="D39" i="10"/>
  <c r="F8" i="10" l="1"/>
  <c r="G8" i="10"/>
  <c r="H8" i="10"/>
  <c r="I8" i="10"/>
  <c r="J8" i="10"/>
  <c r="K8" i="10"/>
  <c r="D8" i="10"/>
  <c r="E55" i="10"/>
  <c r="K42" i="10" l="1"/>
  <c r="K74" i="10"/>
  <c r="K58" i="10"/>
  <c r="K61" i="10" l="1"/>
  <c r="L61" i="10" s="1"/>
  <c r="M61" i="10" s="1"/>
  <c r="N61" i="10" s="1"/>
  <c r="O61" i="10" s="1"/>
  <c r="K60" i="10"/>
  <c r="L60" i="10" s="1"/>
  <c r="M60" i="10" s="1"/>
  <c r="N60" i="10" s="1"/>
  <c r="O60" i="10" s="1"/>
  <c r="D15" i="15" l="1"/>
  <c r="D11" i="15"/>
  <c r="D20" i="6" l="1"/>
  <c r="E20" i="6"/>
  <c r="F20" i="6"/>
  <c r="G20" i="6"/>
  <c r="H20" i="6"/>
  <c r="I20" i="6"/>
  <c r="J20" i="6"/>
  <c r="K20" i="6"/>
  <c r="L20" i="6"/>
  <c r="M20" i="6"/>
  <c r="N20" i="6"/>
  <c r="C20" i="6"/>
  <c r="J14" i="8" l="1"/>
  <c r="K14" i="8"/>
  <c r="L14" i="8"/>
  <c r="N32" i="7" l="1"/>
  <c r="M32" i="7"/>
  <c r="L32" i="7"/>
  <c r="K32" i="7"/>
  <c r="J32" i="7"/>
  <c r="F30" i="12" l="1"/>
  <c r="D31" i="8"/>
  <c r="E31" i="8" s="1"/>
  <c r="D32" i="8" l="1"/>
  <c r="E32" i="8"/>
  <c r="F31" i="8"/>
  <c r="F25" i="18"/>
  <c r="G25" i="18"/>
  <c r="H25" i="18"/>
  <c r="I25" i="18"/>
  <c r="J25" i="18"/>
  <c r="D25" i="18"/>
  <c r="N16" i="7"/>
  <c r="M16" i="7"/>
  <c r="L16" i="7"/>
  <c r="K16" i="7"/>
  <c r="J16" i="7"/>
  <c r="I16" i="7"/>
  <c r="H16" i="7"/>
  <c r="G16" i="7"/>
  <c r="F16" i="7"/>
  <c r="E16" i="7"/>
  <c r="D16" i="7"/>
  <c r="C16" i="7"/>
  <c r="O10" i="6"/>
  <c r="K26" i="9"/>
  <c r="F32" i="8" l="1"/>
  <c r="G31" i="8"/>
  <c r="J32" i="18"/>
  <c r="I32" i="18"/>
  <c r="H32" i="18"/>
  <c r="G32" i="18"/>
  <c r="F32" i="18"/>
  <c r="E32" i="18"/>
  <c r="D32" i="18"/>
  <c r="N21" i="7"/>
  <c r="M21" i="7"/>
  <c r="L21" i="7"/>
  <c r="K21" i="7"/>
  <c r="J21" i="7"/>
  <c r="G32" i="8" l="1"/>
  <c r="H31" i="8"/>
  <c r="J39" i="17"/>
  <c r="I39" i="17"/>
  <c r="H39" i="17"/>
  <c r="G39" i="17"/>
  <c r="F39" i="17"/>
  <c r="E39" i="17"/>
  <c r="D39" i="17"/>
  <c r="D25" i="8"/>
  <c r="E25" i="8" s="1"/>
  <c r="F25" i="8" s="1"/>
  <c r="G25" i="8" s="1"/>
  <c r="H25" i="8" s="1"/>
  <c r="I25" i="8" s="1"/>
  <c r="I31" i="8" l="1"/>
  <c r="I32" i="8" s="1"/>
  <c r="C44" i="15" s="1"/>
  <c r="H32" i="8"/>
  <c r="N21" i="8"/>
  <c r="M21" i="8"/>
  <c r="L21" i="8"/>
  <c r="K21" i="8"/>
  <c r="J21" i="8"/>
  <c r="D36" i="12" l="1"/>
  <c r="E36" i="12"/>
  <c r="C36" i="12"/>
  <c r="C68" i="9" l="1"/>
  <c r="C94" i="19"/>
  <c r="I26" i="10"/>
  <c r="J26" i="10"/>
  <c r="H26" i="10"/>
  <c r="G26" i="10"/>
  <c r="F26" i="10"/>
  <c r="E26" i="10"/>
  <c r="E8" i="10" s="1"/>
  <c r="D26" i="10"/>
  <c r="J46" i="19"/>
  <c r="K46" i="19"/>
  <c r="L46" i="19"/>
  <c r="M46" i="19"/>
  <c r="N46" i="19"/>
  <c r="C93" i="19"/>
  <c r="G46" i="19"/>
  <c r="H46" i="19" l="1"/>
  <c r="I46" i="19"/>
  <c r="F46" i="19"/>
  <c r="C21" i="19" l="1"/>
  <c r="C30" i="15" l="1"/>
  <c r="E46" i="19" l="1"/>
  <c r="C5" i="6" l="1"/>
  <c r="C67" i="9" l="1"/>
  <c r="C35" i="10"/>
  <c r="C36" i="10" l="1"/>
  <c r="G49" i="17"/>
  <c r="H49" i="17"/>
  <c r="I49" i="17"/>
  <c r="J49" i="17"/>
  <c r="E49" i="17"/>
  <c r="F49" i="17"/>
  <c r="D49" i="17"/>
  <c r="P78" i="10" l="1"/>
  <c r="P77" i="10"/>
  <c r="P76" i="10"/>
  <c r="O13" i="6" l="1"/>
  <c r="O11" i="6" l="1"/>
  <c r="P46" i="9"/>
  <c r="P45" i="9"/>
  <c r="P44" i="9"/>
  <c r="J50" i="19" l="1"/>
  <c r="J51" i="19" l="1"/>
  <c r="K50" i="19"/>
  <c r="L50" i="19" l="1"/>
  <c r="K51" i="19"/>
  <c r="I51" i="19"/>
  <c r="H51" i="19"/>
  <c r="G51" i="19"/>
  <c r="F51" i="19"/>
  <c r="E51" i="19"/>
  <c r="D51" i="19"/>
  <c r="C51" i="19"/>
  <c r="M50" i="19" l="1"/>
  <c r="L51" i="19"/>
  <c r="I14" i="8"/>
  <c r="N50" i="19" l="1"/>
  <c r="N51" i="19" s="1"/>
  <c r="M51" i="19"/>
  <c r="H14" i="8"/>
  <c r="F14" i="8"/>
  <c r="G14" i="8"/>
  <c r="E14" i="8"/>
  <c r="C14" i="8" l="1"/>
  <c r="D14" i="8"/>
  <c r="N24" i="7"/>
  <c r="M24" i="7"/>
  <c r="L24" i="7"/>
  <c r="K24" i="7"/>
  <c r="J24" i="7"/>
  <c r="J83" i="19" l="1"/>
  <c r="K83" i="19" s="1"/>
  <c r="L83" i="19" s="1"/>
  <c r="M83" i="19" s="1"/>
  <c r="N83" i="19" s="1"/>
  <c r="J77" i="19"/>
  <c r="K77" i="19" s="1"/>
  <c r="L77" i="19" s="1"/>
  <c r="M77" i="19" s="1"/>
  <c r="N77" i="19" s="1"/>
  <c r="J76" i="19"/>
  <c r="K76" i="19" s="1"/>
  <c r="L76" i="19" s="1"/>
  <c r="M76" i="19" s="1"/>
  <c r="N76" i="19" s="1"/>
  <c r="J58" i="9"/>
  <c r="J37" i="10"/>
  <c r="J29" i="10"/>
  <c r="J11" i="10" s="1"/>
  <c r="J28" i="10"/>
  <c r="J25" i="7"/>
  <c r="J26" i="7" s="1"/>
  <c r="K25" i="7"/>
  <c r="K26" i="7" s="1"/>
  <c r="L25" i="7"/>
  <c r="L26" i="7" s="1"/>
  <c r="M25" i="7"/>
  <c r="M26" i="7" s="1"/>
  <c r="N25" i="7"/>
  <c r="N26" i="7" s="1"/>
  <c r="I25" i="7"/>
  <c r="I24" i="7"/>
  <c r="I26" i="7" l="1"/>
  <c r="K75" i="19"/>
  <c r="L75" i="19" s="1"/>
  <c r="M75" i="19" s="1"/>
  <c r="N75" i="19" s="1"/>
  <c r="J65" i="19"/>
  <c r="K65" i="19" s="1"/>
  <c r="L65" i="19" s="1"/>
  <c r="M65" i="19" s="1"/>
  <c r="N65" i="19" s="1"/>
  <c r="J64" i="19"/>
  <c r="K64" i="19" s="1"/>
  <c r="L64" i="19" s="1"/>
  <c r="M64" i="19" s="1"/>
  <c r="N64" i="19" s="1"/>
  <c r="J71" i="19"/>
  <c r="K71" i="19" s="1"/>
  <c r="L71" i="19" s="1"/>
  <c r="M71" i="19" s="1"/>
  <c r="N71" i="19" s="1"/>
  <c r="D46" i="19" l="1"/>
  <c r="C46" i="19"/>
  <c r="M14" i="8" l="1"/>
  <c r="O22" i="6"/>
  <c r="O23" i="6"/>
  <c r="O21" i="6"/>
  <c r="F38" i="18" l="1"/>
  <c r="G38" i="18"/>
  <c r="H38" i="18"/>
  <c r="I38" i="18"/>
  <c r="E38" i="18"/>
  <c r="F9" i="16" l="1"/>
  <c r="B9" i="16"/>
  <c r="I58" i="9" l="1"/>
  <c r="H58" i="9"/>
  <c r="G58" i="9"/>
  <c r="F58" i="9"/>
  <c r="E58" i="9"/>
  <c r="D58" i="9"/>
  <c r="D60" i="9"/>
  <c r="I60" i="9"/>
  <c r="H60" i="9"/>
  <c r="G60" i="9"/>
  <c r="F60" i="9"/>
  <c r="E60" i="9"/>
  <c r="H24" i="7"/>
  <c r="G24" i="7"/>
  <c r="F24" i="7"/>
  <c r="E24" i="7"/>
  <c r="D24" i="7"/>
  <c r="H25" i="7"/>
  <c r="G25" i="7"/>
  <c r="F25" i="7"/>
  <c r="E25" i="7"/>
  <c r="D25" i="7"/>
  <c r="C25" i="7"/>
  <c r="C24" i="7"/>
  <c r="E4" i="9" l="1"/>
  <c r="O18" i="12" l="1"/>
  <c r="O69" i="9" l="1"/>
  <c r="O37" i="9" s="1"/>
  <c r="N69" i="9"/>
  <c r="N37" i="9" s="1"/>
  <c r="M69" i="9"/>
  <c r="M37" i="9" s="1"/>
  <c r="M85" i="9" l="1"/>
  <c r="O85" i="9"/>
  <c r="N85" i="9"/>
  <c r="M5" i="10"/>
  <c r="N5" i="10"/>
  <c r="O5" i="10"/>
  <c r="J60" i="9" l="1"/>
  <c r="L69" i="9" l="1"/>
  <c r="L37" i="9" s="1"/>
  <c r="K69" i="9"/>
  <c r="K37" i="9" s="1"/>
  <c r="L28" i="10"/>
  <c r="L37" i="10"/>
  <c r="K37" i="10"/>
  <c r="L29" i="10"/>
  <c r="L11" i="10" s="1"/>
  <c r="K29" i="10"/>
  <c r="K11" i="10" s="1"/>
  <c r="K28" i="10"/>
  <c r="L85" i="9" l="1"/>
  <c r="K85" i="10"/>
  <c r="K53" i="10"/>
  <c r="K69" i="10"/>
  <c r="L69" i="10"/>
  <c r="L85" i="10"/>
  <c r="L53" i="10"/>
  <c r="K85" i="9"/>
  <c r="O16" i="12" l="1"/>
  <c r="K61" i="9" l="1"/>
  <c r="L61" i="9"/>
  <c r="M61" i="9"/>
  <c r="N61" i="9"/>
  <c r="O61" i="9"/>
  <c r="L60" i="9"/>
  <c r="M60" i="9"/>
  <c r="N60" i="9"/>
  <c r="O60" i="9"/>
  <c r="K60" i="9" l="1"/>
  <c r="N14" i="8" l="1"/>
  <c r="M28" i="10" l="1"/>
  <c r="M29" i="10"/>
  <c r="M11" i="10" s="1"/>
  <c r="R34" i="15"/>
  <c r="R35" i="15"/>
  <c r="R37" i="15"/>
  <c r="R43" i="15"/>
  <c r="R44" i="15"/>
  <c r="H28" i="15"/>
  <c r="R28" i="15" s="1"/>
  <c r="H30" i="15"/>
  <c r="R30" i="15" s="1"/>
  <c r="R42" i="15"/>
  <c r="O28" i="10" l="1"/>
  <c r="N28" i="10"/>
  <c r="N10" i="10" s="1"/>
  <c r="O29" i="10"/>
  <c r="O11" i="10" s="1"/>
  <c r="N29" i="10"/>
  <c r="N11" i="10" s="1"/>
  <c r="E34" i="18" l="1"/>
  <c r="F34" i="18"/>
  <c r="G34" i="18"/>
  <c r="H34" i="18"/>
  <c r="I34" i="18"/>
  <c r="J34" i="18"/>
  <c r="D34" i="18"/>
  <c r="A1" i="14" l="1"/>
  <c r="B20" i="13"/>
  <c r="E11" i="13"/>
  <c r="E16" i="13" s="1"/>
  <c r="D11" i="13"/>
  <c r="D16" i="13" s="1"/>
  <c r="F6" i="13"/>
  <c r="D1" i="13"/>
  <c r="A11" i="5"/>
  <c r="A6" i="5"/>
  <c r="D1" i="5"/>
  <c r="B33" i="5"/>
  <c r="E24" i="5"/>
  <c r="E29" i="5" s="1"/>
  <c r="D24" i="5"/>
  <c r="D29" i="5" s="1"/>
  <c r="F7" i="5"/>
  <c r="E10" i="9"/>
  <c r="E61" i="9"/>
  <c r="F61" i="9"/>
  <c r="G61" i="9"/>
  <c r="H61" i="9"/>
  <c r="I61" i="9"/>
  <c r="J61" i="9"/>
  <c r="D61" i="9"/>
  <c r="E3" i="9"/>
  <c r="F3" i="9"/>
  <c r="G3" i="9"/>
  <c r="H3" i="9"/>
  <c r="I3" i="9"/>
  <c r="J3" i="9"/>
  <c r="K3" i="9"/>
  <c r="L3" i="9"/>
  <c r="M3" i="9"/>
  <c r="N3" i="9"/>
  <c r="O3" i="9"/>
  <c r="K5" i="9"/>
  <c r="L5" i="9"/>
  <c r="M5" i="9"/>
  <c r="N5" i="9"/>
  <c r="O5" i="9"/>
  <c r="D4" i="9"/>
  <c r="D5" i="9"/>
  <c r="D3" i="9"/>
  <c r="E28" i="10"/>
  <c r="F28" i="10"/>
  <c r="G28" i="10"/>
  <c r="H28" i="10"/>
  <c r="I28" i="10"/>
  <c r="M41" i="15"/>
  <c r="D29" i="10"/>
  <c r="D11" i="10" s="1"/>
  <c r="E29" i="10"/>
  <c r="E11" i="10" s="1"/>
  <c r="F29" i="10"/>
  <c r="F11" i="10" s="1"/>
  <c r="G29" i="10"/>
  <c r="G11" i="10" s="1"/>
  <c r="H29" i="10"/>
  <c r="H11" i="10" s="1"/>
  <c r="I29" i="10"/>
  <c r="I11" i="10" s="1"/>
  <c r="D28" i="10"/>
  <c r="E3" i="10"/>
  <c r="F3" i="10"/>
  <c r="G3" i="10"/>
  <c r="H3" i="10"/>
  <c r="I3" i="10"/>
  <c r="J3" i="10"/>
  <c r="K3" i="10"/>
  <c r="L3" i="10"/>
  <c r="M3" i="10"/>
  <c r="N3" i="10"/>
  <c r="O3" i="10"/>
  <c r="K5" i="10"/>
  <c r="D4" i="10"/>
  <c r="D5" i="10"/>
  <c r="D3" i="10"/>
  <c r="D12" i="6"/>
  <c r="E12" i="6"/>
  <c r="F12" i="6"/>
  <c r="G12" i="6"/>
  <c r="H12" i="6"/>
  <c r="I12" i="6"/>
  <c r="J12" i="6"/>
  <c r="K12" i="6"/>
  <c r="L12" i="6"/>
  <c r="M12" i="6"/>
  <c r="N12" i="6"/>
  <c r="C12" i="6"/>
  <c r="D6" i="6"/>
  <c r="E6" i="6"/>
  <c r="F6" i="6"/>
  <c r="G6" i="6"/>
  <c r="H6" i="6"/>
  <c r="I6" i="6"/>
  <c r="J6" i="6"/>
  <c r="K6" i="6"/>
  <c r="L6" i="6"/>
  <c r="M6" i="6"/>
  <c r="N6" i="6"/>
  <c r="C6" i="6"/>
  <c r="D3" i="7"/>
  <c r="E3" i="7"/>
  <c r="F3" i="7"/>
  <c r="G3" i="7"/>
  <c r="H3" i="7"/>
  <c r="I3" i="7"/>
  <c r="J3" i="7"/>
  <c r="K3" i="7"/>
  <c r="L3" i="7"/>
  <c r="M3" i="7"/>
  <c r="N3" i="7"/>
  <c r="J5" i="7"/>
  <c r="L5" i="7"/>
  <c r="M5" i="7"/>
  <c r="N5" i="7"/>
  <c r="C4" i="7"/>
  <c r="C5" i="7"/>
  <c r="C3" i="7"/>
  <c r="D3" i="8"/>
  <c r="E3" i="8"/>
  <c r="F3" i="8"/>
  <c r="G3" i="8"/>
  <c r="H3" i="8"/>
  <c r="I3" i="8"/>
  <c r="J3" i="8"/>
  <c r="K3" i="8"/>
  <c r="L3" i="8"/>
  <c r="M3" i="8"/>
  <c r="N3" i="8"/>
  <c r="J5" i="8"/>
  <c r="K5" i="8"/>
  <c r="L5" i="8"/>
  <c r="M5" i="8"/>
  <c r="N5" i="8"/>
  <c r="C4" i="8"/>
  <c r="C5" i="8"/>
  <c r="C3" i="8"/>
  <c r="D28" i="15"/>
  <c r="N28" i="15" s="1"/>
  <c r="E28" i="15"/>
  <c r="O28" i="15" s="1"/>
  <c r="F28" i="15"/>
  <c r="P28" i="15" s="1"/>
  <c r="G28" i="15"/>
  <c r="Q28" i="15" s="1"/>
  <c r="D30" i="15"/>
  <c r="N30" i="15" s="1"/>
  <c r="F30" i="15"/>
  <c r="P30" i="15" s="1"/>
  <c r="G30" i="15"/>
  <c r="Q30" i="15" s="1"/>
  <c r="C28" i="15"/>
  <c r="M28" i="15" s="1"/>
  <c r="E4" i="15"/>
  <c r="F4" i="15"/>
  <c r="G4" i="15"/>
  <c r="H4" i="15"/>
  <c r="F6" i="15"/>
  <c r="G6" i="15"/>
  <c r="H6" i="15"/>
  <c r="D4" i="15"/>
  <c r="C28" i="12"/>
  <c r="D26" i="12"/>
  <c r="E26" i="12"/>
  <c r="C26" i="12"/>
  <c r="B24" i="12"/>
  <c r="C17" i="12"/>
  <c r="D62" i="9" s="1"/>
  <c r="C10" i="12"/>
  <c r="D30" i="10" s="1"/>
  <c r="D17" i="12"/>
  <c r="E62" i="9" s="1"/>
  <c r="D10" i="12"/>
  <c r="E30" i="10" s="1"/>
  <c r="D4" i="12"/>
  <c r="E4" i="12"/>
  <c r="F4" i="12"/>
  <c r="G4" i="12"/>
  <c r="H4" i="12"/>
  <c r="I4" i="12"/>
  <c r="J4" i="12"/>
  <c r="K4" i="12"/>
  <c r="L4" i="12"/>
  <c r="M4" i="12"/>
  <c r="N4" i="12"/>
  <c r="J6" i="12"/>
  <c r="L6" i="12"/>
  <c r="M6" i="12"/>
  <c r="N6" i="12"/>
  <c r="C5" i="12"/>
  <c r="C6" i="12"/>
  <c r="C4" i="12"/>
  <c r="J38" i="18"/>
  <c r="E39" i="18"/>
  <c r="F39" i="18"/>
  <c r="G39" i="18"/>
  <c r="H39" i="18"/>
  <c r="I39" i="18"/>
  <c r="J39" i="18"/>
  <c r="D39" i="18"/>
  <c r="D38" i="18"/>
  <c r="E3" i="18"/>
  <c r="F3" i="18"/>
  <c r="G3" i="18"/>
  <c r="H3" i="18"/>
  <c r="I3" i="18"/>
  <c r="J3" i="18"/>
  <c r="D4" i="18"/>
  <c r="D5" i="18"/>
  <c r="D3" i="18"/>
  <c r="J21" i="17"/>
  <c r="J22" i="17"/>
  <c r="E3" i="17"/>
  <c r="F3" i="17"/>
  <c r="G3" i="17"/>
  <c r="H3" i="17"/>
  <c r="I3" i="17"/>
  <c r="J3" i="17"/>
  <c r="D4" i="17"/>
  <c r="D5" i="17"/>
  <c r="D3" i="17"/>
  <c r="K5" i="7"/>
  <c r="E5" i="9"/>
  <c r="F5" i="6"/>
  <c r="E4" i="10"/>
  <c r="C15" i="8" l="1"/>
  <c r="D15" i="8" s="1"/>
  <c r="D6" i="14"/>
  <c r="C26" i="7"/>
  <c r="F5" i="9"/>
  <c r="R36" i="15"/>
  <c r="R38" i="15" s="1"/>
  <c r="K6" i="12"/>
  <c r="E6" i="15"/>
  <c r="N41" i="15"/>
  <c r="F5" i="12"/>
  <c r="G4" i="17"/>
  <c r="E4" i="18"/>
  <c r="F4" i="8"/>
  <c r="G4" i="9"/>
  <c r="I40" i="18"/>
  <c r="J40" i="18"/>
  <c r="E5" i="12"/>
  <c r="E4" i="17"/>
  <c r="G4" i="18"/>
  <c r="F5" i="10"/>
  <c r="E5" i="8"/>
  <c r="E6" i="12"/>
  <c r="F5" i="18"/>
  <c r="E5" i="7"/>
  <c r="E5" i="6"/>
  <c r="D4" i="7"/>
  <c r="D5" i="6"/>
  <c r="E5" i="10"/>
  <c r="D5" i="12"/>
  <c r="E30" i="15"/>
  <c r="O30" i="15" s="1"/>
  <c r="D4" i="8"/>
  <c r="D5" i="7"/>
  <c r="L5" i="10"/>
  <c r="G4" i="10"/>
  <c r="E5" i="17"/>
  <c r="E5" i="18"/>
  <c r="D6" i="12"/>
  <c r="D5" i="8"/>
  <c r="F4" i="7"/>
  <c r="J23" i="17"/>
  <c r="D40" i="18"/>
  <c r="F40" i="18"/>
  <c r="E40" i="18"/>
  <c r="H40" i="18"/>
  <c r="G40" i="18"/>
  <c r="E27" i="12"/>
  <c r="D27" i="12"/>
  <c r="C27" i="12"/>
  <c r="F33" i="12"/>
  <c r="F36" i="12" s="1"/>
  <c r="E11" i="18"/>
  <c r="F11" i="18"/>
  <c r="G11" i="18"/>
  <c r="H11" i="18"/>
  <c r="I11" i="18"/>
  <c r="J11" i="18"/>
  <c r="E10" i="18"/>
  <c r="F10" i="18"/>
  <c r="G10" i="18"/>
  <c r="H10" i="18"/>
  <c r="I10" i="18"/>
  <c r="J10" i="18"/>
  <c r="J11" i="17"/>
  <c r="J10" i="17"/>
  <c r="E8" i="9"/>
  <c r="F8" i="9"/>
  <c r="G8" i="9"/>
  <c r="H8" i="9"/>
  <c r="I8" i="9"/>
  <c r="J8" i="9"/>
  <c r="E12" i="9"/>
  <c r="E11" i="9"/>
  <c r="F11" i="9"/>
  <c r="G11" i="9"/>
  <c r="H11" i="9"/>
  <c r="I11" i="9"/>
  <c r="J11" i="9"/>
  <c r="F10" i="9"/>
  <c r="G10" i="9"/>
  <c r="H10" i="9"/>
  <c r="I10" i="9"/>
  <c r="J10" i="9"/>
  <c r="E10" i="10"/>
  <c r="F10" i="10"/>
  <c r="G10" i="10"/>
  <c r="H10" i="10"/>
  <c r="I10" i="10"/>
  <c r="J10" i="10"/>
  <c r="E12" i="10"/>
  <c r="D10" i="9"/>
  <c r="K47" i="9"/>
  <c r="K11" i="9"/>
  <c r="K10" i="9"/>
  <c r="D31" i="9"/>
  <c r="D33" i="9" s="1"/>
  <c r="D35" i="9" s="1"/>
  <c r="H35" i="15"/>
  <c r="F35" i="15"/>
  <c r="E35" i="15"/>
  <c r="E31" i="17"/>
  <c r="F31" i="17"/>
  <c r="G31" i="17"/>
  <c r="H31" i="17"/>
  <c r="I31" i="17"/>
  <c r="J31" i="17"/>
  <c r="D31" i="17"/>
  <c r="D10" i="10"/>
  <c r="L47" i="9"/>
  <c r="M47" i="9"/>
  <c r="N47" i="9"/>
  <c r="O47" i="9"/>
  <c r="D11" i="9"/>
  <c r="C7" i="14"/>
  <c r="D7" i="14"/>
  <c r="E33" i="17"/>
  <c r="F33" i="17"/>
  <c r="G33" i="17"/>
  <c r="H33" i="17"/>
  <c r="I33" i="17"/>
  <c r="D33" i="17"/>
  <c r="F25" i="17"/>
  <c r="G25" i="17"/>
  <c r="H25" i="17"/>
  <c r="I25" i="17"/>
  <c r="J25" i="17"/>
  <c r="E50" i="18"/>
  <c r="F50" i="18"/>
  <c r="G50" i="18"/>
  <c r="H50" i="18"/>
  <c r="I50" i="18"/>
  <c r="J50" i="18"/>
  <c r="D50" i="18"/>
  <c r="J42" i="18"/>
  <c r="H42" i="18"/>
  <c r="I42" i="18"/>
  <c r="G42" i="18"/>
  <c r="F42" i="18"/>
  <c r="O20" i="6"/>
  <c r="E25" i="6"/>
  <c r="I25" i="6"/>
  <c r="M25" i="6"/>
  <c r="C25" i="6"/>
  <c r="O12" i="6"/>
  <c r="D8" i="9"/>
  <c r="D11" i="18"/>
  <c r="D10" i="18"/>
  <c r="E63" i="9"/>
  <c r="E65" i="9" s="1"/>
  <c r="D63" i="9"/>
  <c r="D65" i="9" s="1"/>
  <c r="O9" i="12"/>
  <c r="O19" i="7"/>
  <c r="O8" i="12"/>
  <c r="J48" i="18"/>
  <c r="I48" i="18"/>
  <c r="H48" i="18"/>
  <c r="G48" i="18"/>
  <c r="F48" i="18"/>
  <c r="E48" i="18"/>
  <c r="D48" i="18"/>
  <c r="J79" i="9"/>
  <c r="J81" i="9" s="1"/>
  <c r="I79" i="9"/>
  <c r="I81" i="9" s="1"/>
  <c r="H79" i="9"/>
  <c r="H81" i="9" s="1"/>
  <c r="G79" i="9"/>
  <c r="G81" i="9" s="1"/>
  <c r="F79" i="9"/>
  <c r="F81" i="9" s="1"/>
  <c r="E79" i="9"/>
  <c r="E81" i="9" s="1"/>
  <c r="D79" i="9"/>
  <c r="D81" i="9" s="1"/>
  <c r="K79" i="9"/>
  <c r="J23" i="18"/>
  <c r="I23" i="18"/>
  <c r="H23" i="18"/>
  <c r="G23" i="18"/>
  <c r="F23" i="18"/>
  <c r="E23" i="18"/>
  <c r="D23" i="18"/>
  <c r="D19" i="12"/>
  <c r="C19" i="12"/>
  <c r="C37" i="15"/>
  <c r="C35" i="15"/>
  <c r="I31" i="9"/>
  <c r="I33" i="9" s="1"/>
  <c r="G47" i="10"/>
  <c r="G49" i="10" s="1"/>
  <c r="O30" i="7"/>
  <c r="O14" i="7"/>
  <c r="L15" i="6"/>
  <c r="H15" i="6"/>
  <c r="D15" i="6"/>
  <c r="D79" i="10"/>
  <c r="D81" i="10" s="1"/>
  <c r="D83" i="10" s="1"/>
  <c r="K31" i="9"/>
  <c r="O11" i="12"/>
  <c r="I63" i="10"/>
  <c r="I65" i="10" s="1"/>
  <c r="I47" i="10"/>
  <c r="I49" i="10" s="1"/>
  <c r="D31" i="10"/>
  <c r="I47" i="9"/>
  <c r="I49" i="9" s="1"/>
  <c r="Q35" i="15"/>
  <c r="Q34" i="15"/>
  <c r="P35" i="15"/>
  <c r="P34" i="15"/>
  <c r="O35" i="15"/>
  <c r="O34" i="15"/>
  <c r="D35" i="15"/>
  <c r="N35" i="15"/>
  <c r="N34" i="15"/>
  <c r="M35" i="15"/>
  <c r="M37" i="15"/>
  <c r="M34" i="15"/>
  <c r="N31" i="9"/>
  <c r="M31" i="9"/>
  <c r="L31" i="9"/>
  <c r="J31" i="9"/>
  <c r="J33" i="9" s="1"/>
  <c r="J47" i="17"/>
  <c r="I47" i="17"/>
  <c r="F79" i="10"/>
  <c r="F81" i="10" s="1"/>
  <c r="C43" i="15"/>
  <c r="C42" i="15"/>
  <c r="M42" i="15"/>
  <c r="M44" i="15"/>
  <c r="N44" i="15"/>
  <c r="Q44" i="15"/>
  <c r="P44" i="15"/>
  <c r="O44" i="15"/>
  <c r="M43" i="15"/>
  <c r="D47" i="9"/>
  <c r="D49" i="9" s="1"/>
  <c r="D51" i="9" s="1"/>
  <c r="F47" i="9"/>
  <c r="F49" i="9" s="1"/>
  <c r="G47" i="9"/>
  <c r="G49" i="9" s="1"/>
  <c r="H47" i="9"/>
  <c r="H49" i="9" s="1"/>
  <c r="H47" i="17"/>
  <c r="G47" i="17"/>
  <c r="F47" i="17"/>
  <c r="E47" i="17"/>
  <c r="D47" i="17"/>
  <c r="E31" i="9"/>
  <c r="E33" i="9" s="1"/>
  <c r="F31" i="9"/>
  <c r="F33" i="9" s="1"/>
  <c r="H31" i="9"/>
  <c r="H33" i="9" s="1"/>
  <c r="J47" i="9"/>
  <c r="J49" i="9" s="1"/>
  <c r="F47" i="10"/>
  <c r="F49" i="10" s="1"/>
  <c r="H47" i="10"/>
  <c r="H49" i="10" s="1"/>
  <c r="J47" i="10"/>
  <c r="J49" i="10" s="1"/>
  <c r="N79" i="10"/>
  <c r="H79" i="10"/>
  <c r="H81" i="10" s="1"/>
  <c r="I79" i="10"/>
  <c r="I81" i="10" s="1"/>
  <c r="J79" i="10"/>
  <c r="J81" i="10" s="1"/>
  <c r="M79" i="10"/>
  <c r="O79" i="10"/>
  <c r="Q36" i="15"/>
  <c r="P36" i="15"/>
  <c r="O36" i="15"/>
  <c r="N36" i="15"/>
  <c r="D12" i="12"/>
  <c r="C12" i="12"/>
  <c r="M36" i="15"/>
  <c r="O30" i="8"/>
  <c r="O19" i="8"/>
  <c r="F63" i="10"/>
  <c r="G63" i="10"/>
  <c r="G65" i="10" s="1"/>
  <c r="H63" i="10"/>
  <c r="H65" i="10" s="1"/>
  <c r="J63" i="10"/>
  <c r="J65" i="10" s="1"/>
  <c r="D25" i="6"/>
  <c r="F25" i="6"/>
  <c r="G25" i="6"/>
  <c r="H25" i="6"/>
  <c r="J25" i="6"/>
  <c r="K25" i="6"/>
  <c r="L25" i="6"/>
  <c r="N25" i="6"/>
  <c r="O24" i="8"/>
  <c r="C15" i="6"/>
  <c r="E15" i="6"/>
  <c r="F15" i="6"/>
  <c r="G15" i="6"/>
  <c r="I15" i="6"/>
  <c r="J15" i="6"/>
  <c r="K15" i="6"/>
  <c r="M15" i="6"/>
  <c r="N15" i="6"/>
  <c r="P29" i="10"/>
  <c r="O15" i="12"/>
  <c r="C6" i="14"/>
  <c r="P16" i="10"/>
  <c r="P16" i="9"/>
  <c r="P29" i="9"/>
  <c r="P28" i="9"/>
  <c r="E79" i="10"/>
  <c r="E81" i="10" s="1"/>
  <c r="E47" i="9"/>
  <c r="E49" i="9" s="1"/>
  <c r="E31" i="10"/>
  <c r="E33" i="10" s="1"/>
  <c r="E63" i="10"/>
  <c r="E65" i="10" s="1"/>
  <c r="G79" i="10"/>
  <c r="G81" i="10" s="1"/>
  <c r="K79" i="10"/>
  <c r="K81" i="10" s="1"/>
  <c r="G31" i="9"/>
  <c r="G33" i="9" s="1"/>
  <c r="O31" i="9"/>
  <c r="E47" i="10"/>
  <c r="E49" i="10" s="1"/>
  <c r="P78" i="9"/>
  <c r="L79" i="10"/>
  <c r="P60" i="9"/>
  <c r="P61" i="9"/>
  <c r="N37" i="15"/>
  <c r="P30" i="9"/>
  <c r="G35" i="15"/>
  <c r="D42" i="18"/>
  <c r="P46" i="10"/>
  <c r="D47" i="10"/>
  <c r="D49" i="10" s="1"/>
  <c r="D51" i="10" s="1"/>
  <c r="D12" i="10"/>
  <c r="N42" i="15"/>
  <c r="D63" i="10"/>
  <c r="P61" i="10"/>
  <c r="N43" i="15"/>
  <c r="O43" i="15"/>
  <c r="P43" i="15"/>
  <c r="D12" i="9"/>
  <c r="O24" i="7"/>
  <c r="D52" i="9" l="1"/>
  <c r="D67" i="9"/>
  <c r="E67" i="9" s="1"/>
  <c r="E15" i="8"/>
  <c r="D26" i="7"/>
  <c r="D8" i="7" s="1"/>
  <c r="F14" i="18"/>
  <c r="E4" i="7"/>
  <c r="F5" i="17"/>
  <c r="F4" i="9"/>
  <c r="P47" i="9"/>
  <c r="P79" i="10"/>
  <c r="O41" i="15"/>
  <c r="E51" i="10"/>
  <c r="D83" i="9"/>
  <c r="M45" i="15"/>
  <c r="E4" i="8"/>
  <c r="O21" i="7"/>
  <c r="E83" i="10"/>
  <c r="E14" i="17"/>
  <c r="J14" i="17"/>
  <c r="F14" i="17"/>
  <c r="I14" i="17"/>
  <c r="H14" i="18"/>
  <c r="F4" i="10"/>
  <c r="F4" i="18"/>
  <c r="E10" i="12"/>
  <c r="F10" i="12"/>
  <c r="J12" i="17"/>
  <c r="F4" i="17"/>
  <c r="E35" i="9"/>
  <c r="D9" i="14"/>
  <c r="C9" i="14"/>
  <c r="F5" i="7"/>
  <c r="G5" i="10"/>
  <c r="G5" i="9"/>
  <c r="F5" i="8"/>
  <c r="G5" i="17"/>
  <c r="G5" i="18"/>
  <c r="F6" i="12"/>
  <c r="E17" i="12"/>
  <c r="H4" i="9"/>
  <c r="G4" i="8"/>
  <c r="G5" i="12"/>
  <c r="G5" i="6"/>
  <c r="G4" i="7"/>
  <c r="H4" i="18"/>
  <c r="H4" i="17"/>
  <c r="H4" i="10"/>
  <c r="O25" i="6"/>
  <c r="E21" i="5" s="1"/>
  <c r="E8" i="13" s="1"/>
  <c r="J14" i="18"/>
  <c r="H12" i="18"/>
  <c r="C21" i="12"/>
  <c r="N38" i="15"/>
  <c r="D12" i="18"/>
  <c r="M38" i="15"/>
  <c r="G14" i="18"/>
  <c r="D14" i="18"/>
  <c r="G14" i="17"/>
  <c r="F12" i="18"/>
  <c r="I12" i="18"/>
  <c r="J12" i="18"/>
  <c r="D21" i="12"/>
  <c r="E12" i="18"/>
  <c r="C8" i="7"/>
  <c r="E28" i="12"/>
  <c r="D28" i="12"/>
  <c r="G12" i="18"/>
  <c r="D65" i="10"/>
  <c r="P31" i="9"/>
  <c r="K63" i="10"/>
  <c r="F65" i="10"/>
  <c r="L10" i="9"/>
  <c r="E51" i="9"/>
  <c r="E52" i="9" s="1"/>
  <c r="E14" i="18"/>
  <c r="L63" i="10"/>
  <c r="I14" i="18"/>
  <c r="H14" i="17"/>
  <c r="K10" i="10"/>
  <c r="K47" i="10"/>
  <c r="K49" i="10" s="1"/>
  <c r="O15" i="6"/>
  <c r="D21" i="5" s="1"/>
  <c r="D8" i="13" s="1"/>
  <c r="N45" i="15"/>
  <c r="O37" i="15"/>
  <c r="E83" i="9" l="1"/>
  <c r="F51" i="10"/>
  <c r="G51" i="10" s="1"/>
  <c r="F15" i="8"/>
  <c r="E26" i="7"/>
  <c r="P41" i="15"/>
  <c r="M47" i="15"/>
  <c r="F83" i="10"/>
  <c r="F30" i="10"/>
  <c r="E12" i="12"/>
  <c r="G10" i="12"/>
  <c r="G30" i="10"/>
  <c r="F12" i="12"/>
  <c r="F35" i="9"/>
  <c r="F62" i="9"/>
  <c r="E19" i="12"/>
  <c r="I4" i="10"/>
  <c r="I4" i="9"/>
  <c r="H4" i="8"/>
  <c r="H5" i="12"/>
  <c r="H5" i="6"/>
  <c r="H4" i="7"/>
  <c r="I4" i="17"/>
  <c r="I4" i="18"/>
  <c r="G5" i="8"/>
  <c r="G6" i="12"/>
  <c r="H5" i="18"/>
  <c r="H5" i="17"/>
  <c r="G5" i="7"/>
  <c r="H5" i="10"/>
  <c r="H5" i="9"/>
  <c r="F17" i="12"/>
  <c r="F14" i="16"/>
  <c r="B14" i="16"/>
  <c r="O38" i="15"/>
  <c r="M10" i="9"/>
  <c r="F51" i="9"/>
  <c r="D67" i="10"/>
  <c r="L10" i="10"/>
  <c r="O42" i="15"/>
  <c r="L47" i="10"/>
  <c r="L11" i="9"/>
  <c r="P37" i="15"/>
  <c r="N47" i="15"/>
  <c r="L79" i="9"/>
  <c r="P60" i="10"/>
  <c r="Q43" i="15"/>
  <c r="F83" i="9" l="1"/>
  <c r="F52" i="9"/>
  <c r="B21" i="16"/>
  <c r="G9" i="16"/>
  <c r="G12" i="16"/>
  <c r="G11" i="16"/>
  <c r="G10" i="16"/>
  <c r="B20" i="16"/>
  <c r="C11" i="16"/>
  <c r="C10" i="16"/>
  <c r="C9" i="16"/>
  <c r="C12" i="16"/>
  <c r="G15" i="8"/>
  <c r="E8" i="7"/>
  <c r="F26" i="7"/>
  <c r="E21" i="12"/>
  <c r="Q41" i="15"/>
  <c r="G83" i="10"/>
  <c r="F12" i="10"/>
  <c r="F31" i="10"/>
  <c r="F33" i="10" s="1"/>
  <c r="H30" i="10"/>
  <c r="G12" i="12"/>
  <c r="G12" i="10"/>
  <c r="G31" i="10"/>
  <c r="H10" i="12"/>
  <c r="G35" i="9"/>
  <c r="I5" i="9"/>
  <c r="H5" i="8"/>
  <c r="H6" i="12"/>
  <c r="I5" i="18"/>
  <c r="I5" i="17"/>
  <c r="H5" i="7"/>
  <c r="I5" i="10"/>
  <c r="F63" i="9"/>
  <c r="F12" i="9"/>
  <c r="I5" i="6"/>
  <c r="I4" i="7"/>
  <c r="J4" i="18"/>
  <c r="J4" i="17"/>
  <c r="J4" i="10"/>
  <c r="C29" i="15"/>
  <c r="M29" i="15" s="1"/>
  <c r="J4" i="9"/>
  <c r="I4" i="8"/>
  <c r="I5" i="12"/>
  <c r="G62" i="9"/>
  <c r="F19" i="12"/>
  <c r="F21" i="12" s="1"/>
  <c r="G17" i="12"/>
  <c r="P38" i="15"/>
  <c r="O45" i="15"/>
  <c r="E67" i="10"/>
  <c r="G51" i="9"/>
  <c r="G52" i="9" s="1"/>
  <c r="P42" i="15"/>
  <c r="M10" i="10"/>
  <c r="M47" i="10"/>
  <c r="M63" i="10"/>
  <c r="N10" i="9"/>
  <c r="Q37" i="15"/>
  <c r="M11" i="9"/>
  <c r="H51" i="10"/>
  <c r="E13" i="5"/>
  <c r="M79" i="9"/>
  <c r="G83" i="9" l="1"/>
  <c r="H35" i="9"/>
  <c r="H83" i="10"/>
  <c r="B23" i="16"/>
  <c r="C21" i="16" s="1"/>
  <c r="E4" i="13" s="1"/>
  <c r="G14" i="16"/>
  <c r="C14" i="16"/>
  <c r="H15" i="8"/>
  <c r="F8" i="7"/>
  <c r="G26" i="7"/>
  <c r="R41" i="15"/>
  <c r="R45" i="15" s="1"/>
  <c r="R47" i="15" s="1"/>
  <c r="P28" i="10"/>
  <c r="G33" i="10"/>
  <c r="I30" i="10"/>
  <c r="H12" i="12"/>
  <c r="I10" i="12"/>
  <c r="H12" i="10"/>
  <c r="H31" i="10"/>
  <c r="H33" i="10" s="1"/>
  <c r="J4" i="8"/>
  <c r="D5" i="15"/>
  <c r="J5" i="12"/>
  <c r="J5" i="6"/>
  <c r="J4" i="7"/>
  <c r="D29" i="15"/>
  <c r="N29" i="15" s="1"/>
  <c r="K4" i="10"/>
  <c r="K4" i="9"/>
  <c r="H62" i="9"/>
  <c r="G19" i="12"/>
  <c r="G21" i="12" s="1"/>
  <c r="G63" i="9"/>
  <c r="G65" i="9" s="1"/>
  <c r="G12" i="9"/>
  <c r="H17" i="12"/>
  <c r="F65" i="9"/>
  <c r="J5" i="10"/>
  <c r="J5" i="9"/>
  <c r="I5" i="8"/>
  <c r="M30" i="15"/>
  <c r="I6" i="12"/>
  <c r="J5" i="18"/>
  <c r="J5" i="17"/>
  <c r="I5" i="7"/>
  <c r="P11" i="10"/>
  <c r="Q38" i="15"/>
  <c r="P45" i="15"/>
  <c r="N47" i="10"/>
  <c r="Q42" i="15"/>
  <c r="O47" i="15"/>
  <c r="O10" i="9"/>
  <c r="P76" i="9"/>
  <c r="H51" i="9"/>
  <c r="F67" i="10"/>
  <c r="P45" i="10"/>
  <c r="I51" i="10"/>
  <c r="N11" i="9"/>
  <c r="O11" i="9"/>
  <c r="D13" i="5" s="1"/>
  <c r="F13" i="5" s="1"/>
  <c r="N79" i="9"/>
  <c r="N63" i="10"/>
  <c r="P77" i="9"/>
  <c r="J30" i="10" l="1"/>
  <c r="J31" i="10" s="1"/>
  <c r="J33" i="10" s="1"/>
  <c r="I12" i="12"/>
  <c r="H83" i="9"/>
  <c r="H52" i="9"/>
  <c r="I35" i="9"/>
  <c r="I83" i="10"/>
  <c r="C20" i="16"/>
  <c r="D4" i="13" s="1"/>
  <c r="F4" i="13" s="1"/>
  <c r="I15" i="8"/>
  <c r="I16" i="8" s="1"/>
  <c r="H26" i="7"/>
  <c r="H16" i="8"/>
  <c r="G8" i="7"/>
  <c r="J83" i="10"/>
  <c r="I31" i="10"/>
  <c r="I12" i="10"/>
  <c r="J10" i="12"/>
  <c r="I62" i="9"/>
  <c r="H19" i="12"/>
  <c r="H21" i="12" s="1"/>
  <c r="I17" i="12"/>
  <c r="H12" i="9"/>
  <c r="H63" i="9"/>
  <c r="L4" i="9"/>
  <c r="E5" i="15"/>
  <c r="K4" i="8"/>
  <c r="K5" i="12"/>
  <c r="K5" i="6"/>
  <c r="K4" i="7"/>
  <c r="E29" i="15"/>
  <c r="O29" i="15" s="1"/>
  <c r="L4" i="10"/>
  <c r="P11" i="9"/>
  <c r="O63" i="10"/>
  <c r="G67" i="10"/>
  <c r="Q45" i="15"/>
  <c r="J51" i="10"/>
  <c r="O79" i="9"/>
  <c r="O10" i="10"/>
  <c r="O47" i="10"/>
  <c r="I51" i="9"/>
  <c r="D9" i="5"/>
  <c r="P10" i="9"/>
  <c r="P47" i="15"/>
  <c r="P44" i="10"/>
  <c r="P62" i="10"/>
  <c r="K30" i="10" l="1"/>
  <c r="J12" i="12"/>
  <c r="I83" i="9"/>
  <c r="I52" i="9"/>
  <c r="J35" i="9"/>
  <c r="D6" i="13"/>
  <c r="D10" i="13" s="1"/>
  <c r="D15" i="13" s="1"/>
  <c r="H8" i="8"/>
  <c r="C36" i="15"/>
  <c r="J15" i="8"/>
  <c r="H8" i="7"/>
  <c r="I33" i="10"/>
  <c r="K10" i="12"/>
  <c r="J12" i="10"/>
  <c r="M4" i="10"/>
  <c r="F29" i="15"/>
  <c r="P29" i="15" s="1"/>
  <c r="M4" i="9"/>
  <c r="F5" i="15"/>
  <c r="L4" i="8"/>
  <c r="L5" i="12"/>
  <c r="L5" i="6"/>
  <c r="L4" i="7"/>
  <c r="H65" i="9"/>
  <c r="J62" i="9"/>
  <c r="I19" i="12"/>
  <c r="I21" i="12" s="1"/>
  <c r="I12" i="9"/>
  <c r="I63" i="9"/>
  <c r="I65" i="9" s="1"/>
  <c r="J17" i="12"/>
  <c r="J83" i="9"/>
  <c r="J51" i="9"/>
  <c r="P47" i="10"/>
  <c r="Q47" i="15"/>
  <c r="E9" i="5"/>
  <c r="P10" i="10"/>
  <c r="P63" i="10"/>
  <c r="P79" i="9"/>
  <c r="H67" i="10"/>
  <c r="L30" i="10" l="1"/>
  <c r="K12" i="12"/>
  <c r="J52" i="9"/>
  <c r="E6" i="13"/>
  <c r="E10" i="13" s="1"/>
  <c r="E15" i="13" s="1"/>
  <c r="D13" i="13"/>
  <c r="K15" i="8"/>
  <c r="J25" i="8"/>
  <c r="J16" i="8"/>
  <c r="D41" i="15" s="1"/>
  <c r="C34" i="15"/>
  <c r="C38" i="15" s="1"/>
  <c r="I8" i="7"/>
  <c r="D36" i="15"/>
  <c r="L10" i="12"/>
  <c r="L12" i="12" s="1"/>
  <c r="K31" i="10"/>
  <c r="K12" i="10"/>
  <c r="K62" i="9"/>
  <c r="J19" i="12"/>
  <c r="J21" i="12" s="1"/>
  <c r="K17" i="12"/>
  <c r="J63" i="9"/>
  <c r="J65" i="9" s="1"/>
  <c r="J12" i="9"/>
  <c r="H29" i="15"/>
  <c r="R29" i="15" s="1"/>
  <c r="M5" i="6"/>
  <c r="M4" i="7"/>
  <c r="G29" i="15"/>
  <c r="Q29" i="15" s="1"/>
  <c r="N4" i="10"/>
  <c r="N4" i="9"/>
  <c r="G5" i="15"/>
  <c r="M4" i="8"/>
  <c r="M5" i="12"/>
  <c r="I67" i="10"/>
  <c r="F9" i="5"/>
  <c r="E4" i="5" s="1"/>
  <c r="D37" i="15" l="1"/>
  <c r="E13" i="13"/>
  <c r="C12" i="14"/>
  <c r="D18" i="13"/>
  <c r="D12" i="14"/>
  <c r="E18" i="13"/>
  <c r="J31" i="8"/>
  <c r="J32" i="8" s="1"/>
  <c r="D44" i="15" s="1"/>
  <c r="J26" i="8"/>
  <c r="J8" i="8" s="1"/>
  <c r="D34" i="15"/>
  <c r="D38" i="15" s="1"/>
  <c r="J8" i="7"/>
  <c r="E37" i="15"/>
  <c r="E36" i="15"/>
  <c r="L15" i="8"/>
  <c r="K25" i="8"/>
  <c r="K16" i="8"/>
  <c r="E41" i="15" s="1"/>
  <c r="K58" i="9"/>
  <c r="K74" i="9"/>
  <c r="K42" i="9"/>
  <c r="M30" i="10"/>
  <c r="N10" i="12"/>
  <c r="N12" i="12" s="1"/>
  <c r="M10" i="12"/>
  <c r="M12" i="12" s="1"/>
  <c r="L31" i="10"/>
  <c r="L12" i="10"/>
  <c r="L62" i="9"/>
  <c r="K19" i="12"/>
  <c r="K63" i="9"/>
  <c r="K12" i="9"/>
  <c r="L17" i="12"/>
  <c r="N4" i="8"/>
  <c r="N5" i="12"/>
  <c r="H5" i="15"/>
  <c r="N5" i="6"/>
  <c r="N4" i="7"/>
  <c r="O4" i="10"/>
  <c r="O4" i="9"/>
  <c r="D4" i="5"/>
  <c r="J67" i="10"/>
  <c r="K31" i="8" l="1"/>
  <c r="K32" i="8" s="1"/>
  <c r="E44" i="15" s="1"/>
  <c r="K26" i="8"/>
  <c r="E43" i="15" s="1"/>
  <c r="D43" i="15"/>
  <c r="D42" i="15"/>
  <c r="E42" i="15"/>
  <c r="E12" i="15"/>
  <c r="L74" i="9" s="1"/>
  <c r="L81" i="9" s="1"/>
  <c r="E10" i="15"/>
  <c r="E9" i="15"/>
  <c r="L26" i="9" s="1"/>
  <c r="E11" i="15"/>
  <c r="L58" i="9" s="1"/>
  <c r="F36" i="15"/>
  <c r="K49" i="9"/>
  <c r="K51" i="9" s="1"/>
  <c r="M15" i="8"/>
  <c r="L25" i="8"/>
  <c r="L16" i="8"/>
  <c r="F41" i="15" s="1"/>
  <c r="D13" i="15"/>
  <c r="E34" i="15"/>
  <c r="E38" i="15" s="1"/>
  <c r="K8" i="7"/>
  <c r="K81" i="9"/>
  <c r="K83" i="9" s="1"/>
  <c r="K21" i="12"/>
  <c r="M31" i="10"/>
  <c r="M12" i="10"/>
  <c r="O30" i="10"/>
  <c r="O10" i="12"/>
  <c r="O12" i="12" s="1"/>
  <c r="E8" i="5" s="1"/>
  <c r="N30" i="10"/>
  <c r="M62" i="9"/>
  <c r="L19" i="12"/>
  <c r="L21" i="12" s="1"/>
  <c r="K65" i="9"/>
  <c r="N17" i="12"/>
  <c r="M17" i="12"/>
  <c r="L12" i="9"/>
  <c r="L63" i="9"/>
  <c r="D7" i="5"/>
  <c r="F4" i="5"/>
  <c r="K84" i="9" l="1"/>
  <c r="K52" i="9"/>
  <c r="F37" i="15"/>
  <c r="E45" i="15"/>
  <c r="F15" i="15" s="1"/>
  <c r="M26" i="10" s="1"/>
  <c r="L31" i="8"/>
  <c r="L26" i="8"/>
  <c r="D45" i="15"/>
  <c r="E15" i="15" s="1"/>
  <c r="L26" i="10" s="1"/>
  <c r="L42" i="9"/>
  <c r="L49" i="9" s="1"/>
  <c r="L51" i="9" s="1"/>
  <c r="L52" i="9" s="1"/>
  <c r="K8" i="8"/>
  <c r="L32" i="8"/>
  <c r="F44" i="15" s="1"/>
  <c r="L65" i="9"/>
  <c r="N15" i="8"/>
  <c r="M25" i="8"/>
  <c r="M16" i="8"/>
  <c r="G41" i="15" s="1"/>
  <c r="L83" i="9"/>
  <c r="F9" i="15"/>
  <c r="M26" i="9" s="1"/>
  <c r="F12" i="15"/>
  <c r="M74" i="9" s="1"/>
  <c r="M81" i="9" s="1"/>
  <c r="F10" i="15"/>
  <c r="F11" i="15"/>
  <c r="M58" i="9" s="1"/>
  <c r="F34" i="15"/>
  <c r="L8" i="7"/>
  <c r="G37" i="15"/>
  <c r="G36" i="15"/>
  <c r="K33" i="9"/>
  <c r="K35" i="9" s="1"/>
  <c r="K8" i="9"/>
  <c r="E13" i="15"/>
  <c r="P30" i="10"/>
  <c r="N31" i="10"/>
  <c r="N12" i="10"/>
  <c r="O31" i="10"/>
  <c r="O12" i="10"/>
  <c r="N62" i="9"/>
  <c r="M19" i="12"/>
  <c r="O62" i="9"/>
  <c r="N19" i="12"/>
  <c r="N21" i="12" s="1"/>
  <c r="O17" i="12"/>
  <c r="M63" i="9"/>
  <c r="M12" i="9"/>
  <c r="E7" i="5"/>
  <c r="F38" i="15" l="1"/>
  <c r="L84" i="9"/>
  <c r="K36" i="9"/>
  <c r="E47" i="15"/>
  <c r="F17" i="15"/>
  <c r="F16" i="15"/>
  <c r="M42" i="10" s="1"/>
  <c r="M49" i="10" s="1"/>
  <c r="F18" i="15"/>
  <c r="E18" i="15"/>
  <c r="L74" i="10" s="1"/>
  <c r="E16" i="15"/>
  <c r="L42" i="10" s="1"/>
  <c r="L49" i="10" s="1"/>
  <c r="M31" i="8"/>
  <c r="M32" i="8" s="1"/>
  <c r="M26" i="8"/>
  <c r="G43" i="15" s="1"/>
  <c r="E17" i="15"/>
  <c r="F43" i="15"/>
  <c r="D47" i="15"/>
  <c r="L33" i="10"/>
  <c r="L81" i="10"/>
  <c r="M42" i="9"/>
  <c r="M49" i="9" s="1"/>
  <c r="M51" i="9" s="1"/>
  <c r="M52" i="9" s="1"/>
  <c r="F42" i="15"/>
  <c r="L8" i="8"/>
  <c r="G42" i="15"/>
  <c r="G11" i="15"/>
  <c r="G10" i="15"/>
  <c r="G9" i="15"/>
  <c r="N26" i="9" s="1"/>
  <c r="G12" i="15"/>
  <c r="N74" i="9" s="1"/>
  <c r="N81" i="9" s="1"/>
  <c r="N25" i="8"/>
  <c r="N16" i="8"/>
  <c r="L33" i="9"/>
  <c r="L35" i="9" s="1"/>
  <c r="L8" i="9"/>
  <c r="M8" i="7"/>
  <c r="G34" i="15"/>
  <c r="G38" i="15" s="1"/>
  <c r="H11" i="15" s="1"/>
  <c r="O58" i="9" s="1"/>
  <c r="H37" i="15"/>
  <c r="F13" i="15"/>
  <c r="M21" i="12"/>
  <c r="O19" i="12"/>
  <c r="O21" i="12" s="1"/>
  <c r="M83" i="9"/>
  <c r="P12" i="10"/>
  <c r="P31" i="10"/>
  <c r="M65" i="9"/>
  <c r="O63" i="9"/>
  <c r="O12" i="9"/>
  <c r="N63" i="9"/>
  <c r="N12" i="9"/>
  <c r="P62" i="9"/>
  <c r="M74" i="10" l="1"/>
  <c r="M81" i="10" s="1"/>
  <c r="M58" i="10"/>
  <c r="M65" i="10" s="1"/>
  <c r="L58" i="10"/>
  <c r="L65" i="10" s="1"/>
  <c r="M84" i="9"/>
  <c r="L36" i="9"/>
  <c r="O32" i="7"/>
  <c r="F19" i="15"/>
  <c r="F21" i="15" s="1"/>
  <c r="F45" i="15"/>
  <c r="G15" i="15" s="1"/>
  <c r="N26" i="10" s="1"/>
  <c r="G44" i="15"/>
  <c r="G45" i="15" s="1"/>
  <c r="H15" i="15" s="1"/>
  <c r="O26" i="10" s="1"/>
  <c r="M8" i="8"/>
  <c r="N31" i="8"/>
  <c r="N32" i="8" s="1"/>
  <c r="N26" i="8"/>
  <c r="H43" i="15" s="1"/>
  <c r="E19" i="15"/>
  <c r="E21" i="15" s="1"/>
  <c r="N42" i="9"/>
  <c r="N49" i="9" s="1"/>
  <c r="N51" i="9" s="1"/>
  <c r="D8" i="5"/>
  <c r="F8" i="5" s="1"/>
  <c r="O65" i="9"/>
  <c r="N58" i="9"/>
  <c r="P58" i="9" s="1"/>
  <c r="N83" i="9"/>
  <c r="N84" i="9" s="1"/>
  <c r="M33" i="9"/>
  <c r="M35" i="9" s="1"/>
  <c r="M8" i="9"/>
  <c r="G13" i="15"/>
  <c r="H34" i="15"/>
  <c r="N8" i="7"/>
  <c r="O8" i="7" s="1"/>
  <c r="O16" i="7"/>
  <c r="H9" i="15"/>
  <c r="O26" i="9" s="1"/>
  <c r="H12" i="15"/>
  <c r="O74" i="9" s="1"/>
  <c r="H10" i="15"/>
  <c r="H41" i="15"/>
  <c r="H18" i="15"/>
  <c r="H36" i="15"/>
  <c r="O26" i="7"/>
  <c r="M33" i="10"/>
  <c r="P63" i="9"/>
  <c r="P12" i="9"/>
  <c r="N33" i="10" l="1"/>
  <c r="L8" i="10"/>
  <c r="M8" i="10"/>
  <c r="O74" i="10"/>
  <c r="O81" i="10" s="1"/>
  <c r="M36" i="9"/>
  <c r="N52" i="9"/>
  <c r="H17" i="15"/>
  <c r="G17" i="15"/>
  <c r="F47" i="15"/>
  <c r="G18" i="15"/>
  <c r="G16" i="15"/>
  <c r="N42" i="10" s="1"/>
  <c r="N49" i="10" s="1"/>
  <c r="H16" i="15"/>
  <c r="O42" i="10" s="1"/>
  <c r="O49" i="10" s="1"/>
  <c r="O26" i="8"/>
  <c r="H44" i="15"/>
  <c r="O32" i="8"/>
  <c r="G47" i="15"/>
  <c r="O42" i="9"/>
  <c r="O49" i="9" s="1"/>
  <c r="O51" i="9" s="1"/>
  <c r="P51" i="9" s="1"/>
  <c r="H42" i="15"/>
  <c r="O21" i="8"/>
  <c r="N8" i="8"/>
  <c r="N65" i="9"/>
  <c r="P65" i="9"/>
  <c r="O81" i="9"/>
  <c r="O83" i="9" s="1"/>
  <c r="O84" i="9" s="1"/>
  <c r="P74" i="9"/>
  <c r="P81" i="9" s="1"/>
  <c r="H38" i="15"/>
  <c r="N33" i="9"/>
  <c r="N35" i="9" s="1"/>
  <c r="N36" i="9" s="1"/>
  <c r="N8" i="9"/>
  <c r="P26" i="9"/>
  <c r="P33" i="9" s="1"/>
  <c r="H13" i="15"/>
  <c r="N58" i="10" l="1"/>
  <c r="O58" i="10"/>
  <c r="O65" i="10" s="1"/>
  <c r="N74" i="10"/>
  <c r="P74" i="10" s="1"/>
  <c r="P81" i="10" s="1"/>
  <c r="O52" i="9"/>
  <c r="H19" i="15"/>
  <c r="H21" i="15" s="1"/>
  <c r="G19" i="15"/>
  <c r="G21" i="15" s="1"/>
  <c r="H45" i="15"/>
  <c r="H47" i="15" s="1"/>
  <c r="P42" i="9"/>
  <c r="P49" i="9" s="1"/>
  <c r="O33" i="10"/>
  <c r="O8" i="9"/>
  <c r="P8" i="9" s="1"/>
  <c r="O33" i="9"/>
  <c r="O35" i="9" s="1"/>
  <c r="P35" i="9" s="1"/>
  <c r="P83" i="9"/>
  <c r="N65" i="10" l="1"/>
  <c r="N8" i="10"/>
  <c r="O8" i="10"/>
  <c r="N81" i="10"/>
  <c r="O36" i="9"/>
  <c r="D33" i="10"/>
  <c r="D35" i="10" s="1"/>
  <c r="D25" i="17"/>
  <c r="D14" i="17" s="1"/>
  <c r="P8" i="10" l="1"/>
  <c r="E35" i="10"/>
  <c r="F35" i="10" l="1"/>
  <c r="G35" i="10" s="1"/>
  <c r="H35" i="10" l="1"/>
  <c r="I35" i="10" l="1"/>
  <c r="J35" i="10" l="1"/>
  <c r="J36" i="10" s="1"/>
  <c r="F16" i="8" l="1"/>
  <c r="F8" i="8" s="1"/>
  <c r="G16" i="8"/>
  <c r="G8" i="8" s="1"/>
  <c r="E16" i="8"/>
  <c r="E8" i="8" s="1"/>
  <c r="D16" i="8"/>
  <c r="D8" i="8" s="1"/>
  <c r="E22" i="17"/>
  <c r="E11" i="17" s="1"/>
  <c r="D22" i="17"/>
  <c r="D11" i="17" s="1"/>
  <c r="G22" i="17"/>
  <c r="G11" i="17" s="1"/>
  <c r="H21" i="17"/>
  <c r="H22" i="17"/>
  <c r="H11" i="17" s="1"/>
  <c r="G21" i="17"/>
  <c r="F22" i="17"/>
  <c r="F11" i="17" s="1"/>
  <c r="I22" i="17"/>
  <c r="I11" i="17" s="1"/>
  <c r="E21" i="17"/>
  <c r="E10" i="17" l="1"/>
  <c r="E12" i="17" s="1"/>
  <c r="E23" i="17"/>
  <c r="I21" i="17"/>
  <c r="F21" i="17"/>
  <c r="C16" i="8"/>
  <c r="O14" i="8"/>
  <c r="F69" i="9"/>
  <c r="F37" i="10"/>
  <c r="F36" i="10" s="1"/>
  <c r="H69" i="9"/>
  <c r="H37" i="9" s="1"/>
  <c r="H36" i="9" s="1"/>
  <c r="H37" i="10"/>
  <c r="H36" i="10" s="1"/>
  <c r="D69" i="9"/>
  <c r="D37" i="10"/>
  <c r="D36" i="10" s="1"/>
  <c r="G69" i="9"/>
  <c r="G37" i="9" s="1"/>
  <c r="G36" i="9" s="1"/>
  <c r="G37" i="10"/>
  <c r="G36" i="10" s="1"/>
  <c r="G10" i="17"/>
  <c r="G12" i="17" s="1"/>
  <c r="G23" i="17"/>
  <c r="I69" i="9"/>
  <c r="I37" i="9" s="1"/>
  <c r="I36" i="9" s="1"/>
  <c r="I37" i="10"/>
  <c r="I36" i="10" s="1"/>
  <c r="H23" i="17"/>
  <c r="H10" i="17"/>
  <c r="H12" i="17" s="1"/>
  <c r="E69" i="9"/>
  <c r="E37" i="10"/>
  <c r="E36" i="10" s="1"/>
  <c r="E39" i="10" s="1"/>
  <c r="C41" i="15"/>
  <c r="C45" i="15" s="1"/>
  <c r="I8" i="8"/>
  <c r="F39" i="10" l="1"/>
  <c r="F37" i="9"/>
  <c r="F36" i="9" s="1"/>
  <c r="E37" i="9"/>
  <c r="E36" i="9" s="1"/>
  <c r="D37" i="9"/>
  <c r="D68" i="9"/>
  <c r="D85" i="9"/>
  <c r="D84" i="9" s="1"/>
  <c r="F85" i="9"/>
  <c r="F84" i="9" s="1"/>
  <c r="E85" i="9"/>
  <c r="E84" i="9" s="1"/>
  <c r="I85" i="9"/>
  <c r="I84" i="9" s="1"/>
  <c r="G85" i="9"/>
  <c r="G84" i="9" s="1"/>
  <c r="H85" i="9"/>
  <c r="H84" i="9" s="1"/>
  <c r="I85" i="10"/>
  <c r="I84" i="10" s="1"/>
  <c r="I69" i="10"/>
  <c r="I68" i="10" s="1"/>
  <c r="I53" i="10"/>
  <c r="I52" i="10" s="1"/>
  <c r="H69" i="10"/>
  <c r="H68" i="10" s="1"/>
  <c r="H53" i="10"/>
  <c r="H52" i="10" s="1"/>
  <c r="H85" i="10"/>
  <c r="H84" i="10" s="1"/>
  <c r="G69" i="10"/>
  <c r="G68" i="10" s="1"/>
  <c r="G85" i="10"/>
  <c r="G84" i="10" s="1"/>
  <c r="G53" i="10"/>
  <c r="G52" i="10" s="1"/>
  <c r="F69" i="10"/>
  <c r="F68" i="10" s="1"/>
  <c r="F85" i="10"/>
  <c r="F84" i="10" s="1"/>
  <c r="F53" i="10"/>
  <c r="F52" i="10" s="1"/>
  <c r="E85" i="10"/>
  <c r="E84" i="10" s="1"/>
  <c r="E69" i="10"/>
  <c r="E68" i="10" s="1"/>
  <c r="E53" i="10"/>
  <c r="E52" i="10" s="1"/>
  <c r="D85" i="10"/>
  <c r="D69" i="10"/>
  <c r="D53" i="10"/>
  <c r="C47" i="15"/>
  <c r="K26" i="10"/>
  <c r="O37" i="10"/>
  <c r="I23" i="17"/>
  <c r="I10" i="17"/>
  <c r="I12" i="17" s="1"/>
  <c r="J69" i="9"/>
  <c r="J37" i="9" s="1"/>
  <c r="J36" i="9" s="1"/>
  <c r="N37" i="10"/>
  <c r="M37" i="10"/>
  <c r="D21" i="17"/>
  <c r="D10" i="17" s="1"/>
  <c r="C8" i="8"/>
  <c r="O8" i="8" s="1"/>
  <c r="O16" i="8"/>
  <c r="F23" i="17"/>
  <c r="F10" i="17"/>
  <c r="F12" i="17" s="1"/>
  <c r="G39" i="10" l="1"/>
  <c r="D36" i="9"/>
  <c r="D39" i="9" s="1"/>
  <c r="E39" i="9" s="1"/>
  <c r="F39" i="9" s="1"/>
  <c r="G39" i="9" s="1"/>
  <c r="H39" i="9" s="1"/>
  <c r="I39" i="9" s="1"/>
  <c r="D87" i="10"/>
  <c r="E87" i="10" s="1"/>
  <c r="F87" i="10" s="1"/>
  <c r="G87" i="10" s="1"/>
  <c r="H87" i="10" s="1"/>
  <c r="I87" i="10" s="1"/>
  <c r="D84" i="10"/>
  <c r="D68" i="10"/>
  <c r="D71" i="10" s="1"/>
  <c r="E71" i="10" s="1"/>
  <c r="F71" i="10" s="1"/>
  <c r="G71" i="10" s="1"/>
  <c r="H71" i="10" s="1"/>
  <c r="I71" i="10" s="1"/>
  <c r="D55" i="10"/>
  <c r="F55" i="10" s="1"/>
  <c r="G55" i="10" s="1"/>
  <c r="H55" i="10" s="1"/>
  <c r="I55" i="10" s="1"/>
  <c r="D52" i="10"/>
  <c r="K33" i="10"/>
  <c r="P26" i="10"/>
  <c r="D13" i="10"/>
  <c r="D14" i="10" s="1"/>
  <c r="E13" i="10"/>
  <c r="E14" i="10" s="1"/>
  <c r="E18" i="10" s="1"/>
  <c r="E20" i="10" s="1"/>
  <c r="F13" i="10"/>
  <c r="F14" i="10" s="1"/>
  <c r="F18" i="10" s="1"/>
  <c r="D55" i="9"/>
  <c r="E55" i="9" s="1"/>
  <c r="F55" i="9" s="1"/>
  <c r="G55" i="9" s="1"/>
  <c r="H55" i="9" s="1"/>
  <c r="I55" i="9" s="1"/>
  <c r="D87" i="9"/>
  <c r="E87" i="9" s="1"/>
  <c r="F87" i="9" s="1"/>
  <c r="G87" i="9" s="1"/>
  <c r="H87" i="9" s="1"/>
  <c r="I87" i="9" s="1"/>
  <c r="J53" i="10"/>
  <c r="J52" i="10" s="1"/>
  <c r="J69" i="10"/>
  <c r="J68" i="10" s="1"/>
  <c r="J85" i="10"/>
  <c r="J84" i="10" s="1"/>
  <c r="P52" i="9"/>
  <c r="P55" i="9" s="1"/>
  <c r="J85" i="9"/>
  <c r="I13" i="10"/>
  <c r="I14" i="10" s="1"/>
  <c r="I18" i="10" s="1"/>
  <c r="H13" i="10"/>
  <c r="H14" i="10" s="1"/>
  <c r="H18" i="10" s="1"/>
  <c r="G13" i="10"/>
  <c r="G14" i="10" s="1"/>
  <c r="G18" i="10" s="1"/>
  <c r="M85" i="10"/>
  <c r="M69" i="10"/>
  <c r="M53" i="10"/>
  <c r="N85" i="10"/>
  <c r="N69" i="10"/>
  <c r="N53" i="10"/>
  <c r="O69" i="10"/>
  <c r="O85" i="10"/>
  <c r="O53" i="10"/>
  <c r="K65" i="10"/>
  <c r="P58" i="10"/>
  <c r="P65" i="10" s="1"/>
  <c r="P42" i="10"/>
  <c r="P49" i="10" s="1"/>
  <c r="D19" i="15"/>
  <c r="D21" i="15" s="1"/>
  <c r="D12" i="17"/>
  <c r="D23" i="17"/>
  <c r="H39" i="10" l="1"/>
  <c r="D13" i="9"/>
  <c r="D14" i="9" s="1"/>
  <c r="J84" i="9"/>
  <c r="J87" i="9" s="1"/>
  <c r="K87" i="9" s="1"/>
  <c r="L87" i="9" s="1"/>
  <c r="M87" i="9" s="1"/>
  <c r="N87" i="9" s="1"/>
  <c r="O87" i="9" s="1"/>
  <c r="K35" i="10"/>
  <c r="P33" i="10"/>
  <c r="J71" i="10"/>
  <c r="J55" i="10"/>
  <c r="J55" i="9"/>
  <c r="K55" i="9" s="1"/>
  <c r="L55" i="9" s="1"/>
  <c r="M55" i="9" s="1"/>
  <c r="N55" i="9" s="1"/>
  <c r="O55" i="9" s="1"/>
  <c r="J87" i="10"/>
  <c r="J13" i="10"/>
  <c r="J14" i="10" s="1"/>
  <c r="J18" i="10" s="1"/>
  <c r="K67" i="10"/>
  <c r="K51" i="10"/>
  <c r="K83" i="10"/>
  <c r="J39" i="9"/>
  <c r="D18" i="10"/>
  <c r="D18" i="9"/>
  <c r="I39" i="10" l="1"/>
  <c r="K36" i="10"/>
  <c r="P84" i="9"/>
  <c r="P87" i="9" s="1"/>
  <c r="L35" i="10"/>
  <c r="L36" i="10" s="1"/>
  <c r="K84" i="10"/>
  <c r="K87" i="10" s="1"/>
  <c r="K52" i="10"/>
  <c r="K68" i="10"/>
  <c r="K71" i="10" s="1"/>
  <c r="L51" i="10"/>
  <c r="L83" i="10"/>
  <c r="L67" i="10"/>
  <c r="K39" i="9"/>
  <c r="D20" i="9"/>
  <c r="D20" i="10"/>
  <c r="J39" i="10" l="1"/>
  <c r="M35" i="10"/>
  <c r="N35" i="10" s="1"/>
  <c r="N36" i="10" s="1"/>
  <c r="L84" i="10"/>
  <c r="L87" i="10" s="1"/>
  <c r="L52" i="10"/>
  <c r="L68" i="10"/>
  <c r="L71" i="10" s="1"/>
  <c r="M51" i="10"/>
  <c r="M67" i="10"/>
  <c r="K13" i="10"/>
  <c r="K55" i="10"/>
  <c r="M83" i="10"/>
  <c r="M84" i="10" s="1"/>
  <c r="L39" i="9"/>
  <c r="K39" i="10" l="1"/>
  <c r="M36" i="10"/>
  <c r="F20" i="10"/>
  <c r="M52" i="10"/>
  <c r="M68" i="10"/>
  <c r="M71" i="10" s="1"/>
  <c r="L13" i="10"/>
  <c r="L14" i="10" s="1"/>
  <c r="L18" i="10" s="1"/>
  <c r="O35" i="10"/>
  <c r="P35" i="10" s="1"/>
  <c r="K14" i="10"/>
  <c r="N51" i="10"/>
  <c r="M87" i="10"/>
  <c r="N83" i="10"/>
  <c r="N67" i="10"/>
  <c r="N68" i="10" s="1"/>
  <c r="L55" i="10"/>
  <c r="M39" i="9"/>
  <c r="L39" i="10" l="1"/>
  <c r="G20" i="10"/>
  <c r="N84" i="10"/>
  <c r="N87" i="10" s="1"/>
  <c r="N52" i="10"/>
  <c r="O36" i="10"/>
  <c r="P36" i="10" s="1"/>
  <c r="N71" i="10"/>
  <c r="M13" i="10"/>
  <c r="M55" i="10"/>
  <c r="O83" i="10"/>
  <c r="P83" i="10" s="1"/>
  <c r="K18" i="10"/>
  <c r="O67" i="10"/>
  <c r="P67" i="10" s="1"/>
  <c r="O51" i="10"/>
  <c r="P51" i="10" s="1"/>
  <c r="N39" i="9"/>
  <c r="M39" i="10" l="1"/>
  <c r="H20" i="10"/>
  <c r="O84" i="10"/>
  <c r="P84" i="10" s="1"/>
  <c r="P87" i="10" s="1"/>
  <c r="O52" i="10"/>
  <c r="P52" i="10" s="1"/>
  <c r="P55" i="10" s="1"/>
  <c r="O68" i="10"/>
  <c r="N13" i="10"/>
  <c r="N14" i="10" s="1"/>
  <c r="N18" i="10" s="1"/>
  <c r="M14" i="10"/>
  <c r="N55" i="10"/>
  <c r="O39" i="9"/>
  <c r="P36" i="9"/>
  <c r="P39" i="9" s="1"/>
  <c r="N39" i="10" l="1"/>
  <c r="I20" i="10"/>
  <c r="O13" i="10"/>
  <c r="O14" i="10" s="1"/>
  <c r="O18" i="10" s="1"/>
  <c r="P39" i="10"/>
  <c r="O55" i="10"/>
  <c r="O87" i="10"/>
  <c r="P68" i="10"/>
  <c r="P71" i="10" s="1"/>
  <c r="O71" i="10"/>
  <c r="M18" i="10"/>
  <c r="O39" i="10" l="1"/>
  <c r="J20" i="10"/>
  <c r="P18" i="10"/>
  <c r="P20" i="10" s="1"/>
  <c r="P13" i="10"/>
  <c r="P14" i="10"/>
  <c r="K20" i="10" l="1"/>
  <c r="F67" i="9"/>
  <c r="G67" i="9" s="1"/>
  <c r="E68" i="9"/>
  <c r="E71" i="9" l="1"/>
  <c r="E11" i="5"/>
  <c r="E15" i="5" s="1"/>
  <c r="E23" i="5" s="1"/>
  <c r="E28" i="5" s="1"/>
  <c r="D11" i="14" s="1"/>
  <c r="D14" i="14" s="1"/>
  <c r="D16" i="14" s="1"/>
  <c r="L20" i="10"/>
  <c r="F68" i="9"/>
  <c r="F13" i="9" s="1"/>
  <c r="F14" i="9" s="1"/>
  <c r="F18" i="9" s="1"/>
  <c r="G68" i="9"/>
  <c r="G13" i="9" s="1"/>
  <c r="G14" i="9" s="1"/>
  <c r="G18" i="9" s="1"/>
  <c r="E13" i="9"/>
  <c r="H67" i="9"/>
  <c r="F71" i="9" l="1"/>
  <c r="G71" i="9"/>
  <c r="E31" i="5"/>
  <c r="E26" i="5"/>
  <c r="M20" i="10"/>
  <c r="I67" i="9"/>
  <c r="I68" i="9" s="1"/>
  <c r="I13" i="9" s="1"/>
  <c r="I14" i="9" s="1"/>
  <c r="I18" i="9" s="1"/>
  <c r="H68" i="9"/>
  <c r="E14" i="9"/>
  <c r="N20" i="10" l="1"/>
  <c r="E18" i="9"/>
  <c r="E20" i="9" s="1"/>
  <c r="H13" i="9"/>
  <c r="J67" i="9"/>
  <c r="J68" i="9" s="1"/>
  <c r="J13" i="9" s="1"/>
  <c r="J14" i="9" s="1"/>
  <c r="J18" i="9" s="1"/>
  <c r="H71" i="9"/>
  <c r="I71" i="9" s="1"/>
  <c r="O20" i="10" l="1"/>
  <c r="J71" i="9"/>
  <c r="H14" i="9"/>
  <c r="K67" i="9"/>
  <c r="K68" i="9" s="1"/>
  <c r="K13" i="9" s="1"/>
  <c r="K14" i="9" s="1"/>
  <c r="K18" i="9" s="1"/>
  <c r="F20" i="9" l="1"/>
  <c r="K71" i="9"/>
  <c r="L67" i="9"/>
  <c r="L68" i="9" s="1"/>
  <c r="H18" i="9"/>
  <c r="G20" i="9" l="1"/>
  <c r="L13" i="9"/>
  <c r="L71" i="9"/>
  <c r="M67" i="9"/>
  <c r="M68" i="9" s="1"/>
  <c r="M13" i="9" s="1"/>
  <c r="M14" i="9" s="1"/>
  <c r="M18" i="9" s="1"/>
  <c r="H20" i="9" l="1"/>
  <c r="L14" i="9"/>
  <c r="M71" i="9"/>
  <c r="N67" i="9"/>
  <c r="I20" i="9" l="1"/>
  <c r="O67" i="9"/>
  <c r="P67" i="9" s="1"/>
  <c r="L18" i="9"/>
  <c r="N68" i="9"/>
  <c r="N13" i="9" s="1"/>
  <c r="J20" i="9" l="1"/>
  <c r="O68" i="9"/>
  <c r="N14" i="9"/>
  <c r="N71" i="9"/>
  <c r="O13" i="9" l="1"/>
  <c r="O14" i="9" s="1"/>
  <c r="O18" i="9" s="1"/>
  <c r="P68" i="9"/>
  <c r="P71" i="9" s="1"/>
  <c r="K20" i="9"/>
  <c r="O71" i="9"/>
  <c r="N18" i="9"/>
  <c r="P18" i="9" l="1"/>
  <c r="P20" i="9" s="1"/>
  <c r="D11" i="5" s="1"/>
  <c r="P13" i="9"/>
  <c r="P14" i="9"/>
  <c r="L20" i="9"/>
  <c r="F11" i="5" l="1"/>
  <c r="F15" i="5" s="1"/>
  <c r="D15" i="5"/>
  <c r="D23" i="5" s="1"/>
  <c r="D28" i="5" s="1"/>
  <c r="M20" i="9"/>
  <c r="D26" i="5" l="1"/>
  <c r="N20" i="9"/>
  <c r="D31" i="5"/>
  <c r="C11" i="14"/>
  <c r="C14" i="14" s="1"/>
  <c r="C16" i="14" s="1"/>
  <c r="O20" i="9" l="1"/>
</calcChain>
</file>

<file path=xl/comments1.xml><?xml version="1.0" encoding="utf-8"?>
<comments xmlns="http://schemas.openxmlformats.org/spreadsheetml/2006/main">
  <authors>
    <author>Brown, Susann</author>
  </authors>
  <commentList>
    <comment ref="C31" authorId="0">
      <text>
        <r>
          <rPr>
            <b/>
            <sz val="9"/>
            <color indexed="81"/>
            <rFont val="Tahoma"/>
            <family val="2"/>
          </rPr>
          <t>Brown, Susann:</t>
        </r>
        <r>
          <rPr>
            <sz val="9"/>
            <color indexed="81"/>
            <rFont val="Tahoma"/>
            <family val="2"/>
          </rPr>
          <t xml:space="preserve">
Blended rate</t>
        </r>
      </text>
    </comment>
  </commentList>
</comments>
</file>

<file path=xl/comments2.xml><?xml version="1.0" encoding="utf-8"?>
<comments xmlns="http://schemas.openxmlformats.org/spreadsheetml/2006/main">
  <authors>
    <author>CMMPM</author>
  </authors>
  <commentList>
    <comment ref="C104" authorId="0">
      <text>
        <r>
          <rPr>
            <b/>
            <sz val="9"/>
            <color indexed="81"/>
            <rFont val="Tahoma"/>
            <family val="2"/>
          </rPr>
          <t>CMMPM:</t>
        </r>
        <r>
          <rPr>
            <sz val="9"/>
            <color indexed="81"/>
            <rFont val="Tahoma"/>
            <family val="2"/>
          </rPr>
          <t xml:space="preserve">
Includes budget for Lifeline programs, Lifeline admin (DHS) and Work First NJ energy assitance)</t>
        </r>
      </text>
    </comment>
  </commentList>
</comments>
</file>

<file path=xl/sharedStrings.xml><?xml version="1.0" encoding="utf-8"?>
<sst xmlns="http://schemas.openxmlformats.org/spreadsheetml/2006/main" count="579" uniqueCount="222">
  <si>
    <t>NJNG</t>
  </si>
  <si>
    <t>Total</t>
  </si>
  <si>
    <t>JCP&amp;L</t>
  </si>
  <si>
    <t>Gas</t>
  </si>
  <si>
    <t>Electric</t>
  </si>
  <si>
    <t xml:space="preserve"> </t>
  </si>
  <si>
    <t>PSE&amp;G</t>
  </si>
  <si>
    <t>SJG</t>
  </si>
  <si>
    <t>RECO</t>
  </si>
  <si>
    <t>a</t>
  </si>
  <si>
    <t>b</t>
  </si>
  <si>
    <t>c</t>
  </si>
  <si>
    <t>d</t>
  </si>
  <si>
    <t>Projected Sales Volumes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</si>
  <si>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</si>
  <si>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</si>
  <si>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</si>
  <si>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</si>
  <si>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</si>
  <si>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</si>
  <si>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</si>
  <si>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</si>
  <si>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</si>
  <si>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</si>
  <si>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>May</t>
  </si>
  <si>
    <t>June</t>
  </si>
  <si>
    <t>USF benefit expenditures</t>
  </si>
  <si>
    <t>SBC carrying costs</t>
  </si>
  <si>
    <t>Total program costs</t>
  </si>
  <si>
    <t>Total program costs-direct utilities</t>
  </si>
  <si>
    <t>actual</t>
  </si>
  <si>
    <t>By Company</t>
  </si>
  <si>
    <t>In summary</t>
  </si>
  <si>
    <t>pre-taxUSF rate only</t>
  </si>
  <si>
    <t>jurisdictional volumes</t>
  </si>
  <si>
    <t>USF recoveries</t>
  </si>
  <si>
    <t>PSE&amp;G-gas</t>
  </si>
  <si>
    <t>PSE&amp;G- electric</t>
  </si>
  <si>
    <t>pre-tax USF rate only</t>
  </si>
  <si>
    <t>e</t>
  </si>
  <si>
    <t>f=a+b+c+d+e</t>
  </si>
  <si>
    <t>g</t>
  </si>
  <si>
    <t>h=f/g</t>
  </si>
  <si>
    <t>Projected Underrecovery by Utility-Gas</t>
  </si>
  <si>
    <t>Projected Underrecovery by Utility-Electric</t>
  </si>
  <si>
    <t>Units in (000s)</t>
  </si>
  <si>
    <t>PSE&amp;G-E</t>
  </si>
  <si>
    <t xml:space="preserve">     subtotal</t>
  </si>
  <si>
    <t>PSE&amp;G-G</t>
  </si>
  <si>
    <t>TOTAL E&amp;G</t>
  </si>
  <si>
    <t>New Rate, after tax</t>
  </si>
  <si>
    <t>i</t>
  </si>
  <si>
    <t>j=h-i</t>
  </si>
  <si>
    <t>Estimates of Normalized Jurisdictional Sales</t>
  </si>
  <si>
    <t>Monthly Under/(Over)recovery</t>
  </si>
  <si>
    <t>Fresh Start expenditures</t>
  </si>
  <si>
    <t>Beg.bal</t>
  </si>
  <si>
    <t>Jurisdictional Revenue Percentages</t>
  </si>
  <si>
    <t>After-tax Increase/(Decrease)</t>
  </si>
  <si>
    <t>Combined After-Tax Rate Impact</t>
  </si>
  <si>
    <t>Current Rate, after-tax</t>
  </si>
  <si>
    <t>m=k-l</t>
  </si>
  <si>
    <t>n</t>
  </si>
  <si>
    <t>o=n/g</t>
  </si>
  <si>
    <t>p</t>
  </si>
  <si>
    <t>q=o-p</t>
  </si>
  <si>
    <t>t=r-s</t>
  </si>
  <si>
    <t>Pre-tax Increase/(Decrease)</t>
  </si>
  <si>
    <t>Current USF rate</t>
  </si>
  <si>
    <t>Current Lifeline rate</t>
  </si>
  <si>
    <t>New USF rate</t>
  </si>
  <si>
    <t>New Lifeline rate</t>
  </si>
  <si>
    <t>New rate, before tax</t>
  </si>
  <si>
    <t>Current Rate, after tax</t>
  </si>
  <si>
    <t>Current before tax rate</t>
  </si>
  <si>
    <t>Before tax Increase/(Decrease)</t>
  </si>
  <si>
    <t>After tax Increase/(Decrease)</t>
  </si>
  <si>
    <t>Electric MWH</t>
  </si>
  <si>
    <t>Fresh Start Program</t>
  </si>
  <si>
    <t>Total Gas</t>
  </si>
  <si>
    <t>Total Electric</t>
  </si>
  <si>
    <t>Total All</t>
  </si>
  <si>
    <t>Utility USF and FSP credits</t>
  </si>
  <si>
    <t>estimate of benefits for next program year</t>
  </si>
  <si>
    <t>Lifeline budget</t>
  </si>
  <si>
    <t>ACE</t>
  </si>
  <si>
    <t>Atlantic City Electric</t>
  </si>
  <si>
    <t>ETG</t>
  </si>
  <si>
    <t xml:space="preserve">JCP&amp;L </t>
  </si>
  <si>
    <t>NJ Utility Jurisdictional Operating Revenue and Volume</t>
  </si>
  <si>
    <t>Public Service Gas</t>
  </si>
  <si>
    <t>Public Service Electric</t>
  </si>
  <si>
    <t>Elizabethtown</t>
  </si>
  <si>
    <t>Atlantic Electric</t>
  </si>
  <si>
    <t>South Jersey</t>
  </si>
  <si>
    <t>Rockland Electric</t>
  </si>
  <si>
    <t>Calculation of Allocation between Gas and Electric</t>
  </si>
  <si>
    <t>Gas Revenue</t>
  </si>
  <si>
    <t>Electric Revenue</t>
  </si>
  <si>
    <t>Total Revenue</t>
  </si>
  <si>
    <t>Electric Operating Jurisdictional Revenues</t>
  </si>
  <si>
    <t xml:space="preserve">           $000</t>
  </si>
  <si>
    <t xml:space="preserve">  In summary</t>
  </si>
  <si>
    <t>USF Remittance</t>
  </si>
  <si>
    <t>Lifeline Remittance</t>
  </si>
  <si>
    <t xml:space="preserve">Total Remittance </t>
  </si>
  <si>
    <t>PSEG</t>
  </si>
  <si>
    <t>Remittances and Amounts Received-Gas</t>
  </si>
  <si>
    <t>Remittances and Amounts Received-Electric</t>
  </si>
  <si>
    <t>admin costs-DCA</t>
  </si>
  <si>
    <t>USF recoveries*</t>
  </si>
  <si>
    <t>Total Current USF/ Lifeline factor</t>
  </si>
  <si>
    <t>Total New USF/ Lifeline factor</t>
  </si>
  <si>
    <t>Total USF/ Lifeline factor increase/(decrease)</t>
  </si>
  <si>
    <t>Beg.Bal</t>
  </si>
  <si>
    <t>* Based on utilities' monthly payments to the clearinghouse and corresponding USF and FSP credits.</t>
  </si>
  <si>
    <t xml:space="preserve">Other administrative costs (DHS,BPU) </t>
  </si>
  <si>
    <t>Est. Under/(Over)Recovery position</t>
  </si>
  <si>
    <t>Cumulative Under/(Over)recovery excl. interest</t>
  </si>
  <si>
    <t xml:space="preserve">Projected Volumes * </t>
  </si>
  <si>
    <t>Projected Volumes **</t>
  </si>
  <si>
    <t>position.</t>
  </si>
  <si>
    <t xml:space="preserve">ADMINISTRATIVE COSTS </t>
  </si>
  <si>
    <t xml:space="preserve">admin costs-utility </t>
  </si>
  <si>
    <t>customers, FSP costs, administrative costs and SBC carrying costs) and the amounts received from the State. See</t>
  </si>
  <si>
    <t>Recoveries Paid to State - Gas</t>
  </si>
  <si>
    <t>Recoveries Paid to State - Electric</t>
  </si>
  <si>
    <t xml:space="preserve">Beg.Bal </t>
  </si>
  <si>
    <t>* ACE, RECO and JCP&amp;L's USF recoveries paid to Clearinghouse are based on actual account by account billing of USF charges and may vary from the pre-tax USF rate due to rebilling cumulative rounding effect, late bills, rebilling and rate changes.</t>
  </si>
  <si>
    <t>Gas Therms*</t>
  </si>
  <si>
    <t>*Gas sales exclude wholesale therms</t>
  </si>
  <si>
    <t>Amt. received from Treasury</t>
  </si>
  <si>
    <t>Amt. paid to Treasury</t>
  </si>
  <si>
    <t>$ TRANSFER FROM THE TREASURY</t>
  </si>
  <si>
    <t>$ Paid to the Treasury</t>
  </si>
  <si>
    <t>Calculation of $ transfer from Treasury to the utilities *</t>
  </si>
  <si>
    <t>Amounts Received from Treasury</t>
  </si>
  <si>
    <t>(Projected Underrecovery by Utility-Gas) and (Projected Underrecovery by Utility-Electric) for each company's under/(over) recovery</t>
  </si>
  <si>
    <t xml:space="preserve">Administrative costs </t>
  </si>
  <si>
    <t>ETG's USF recoveries paid to Clearinghouse are based on actual account by account billing of USF charges and may vary from the pre-tax USF rate due to rebilling cumulative rounding effect, late bills, rebilling and rate changes.</t>
  </si>
  <si>
    <t>Administrative costs</t>
  </si>
  <si>
    <t>Gas Operating Jurisdictional Revenues*</t>
  </si>
  <si>
    <t>*Excludes therms related to LCAPP legislation</t>
  </si>
  <si>
    <t>PSE&amp;G Inputs to Attachment A to USF Filing</t>
  </si>
  <si>
    <t>Tab</t>
  </si>
  <si>
    <t>transfersremittanceselec</t>
  </si>
  <si>
    <t xml:space="preserve">Month </t>
  </si>
  <si>
    <t>Year</t>
  </si>
  <si>
    <t>Actual / Forecast</t>
  </si>
  <si>
    <t>transfersremittancesgas</t>
  </si>
  <si>
    <t>lifeline allocation</t>
  </si>
  <si>
    <t>Source:</t>
  </si>
  <si>
    <t xml:space="preserve"> in $000</t>
  </si>
  <si>
    <t xml:space="preserve">Tab </t>
  </si>
  <si>
    <t>Administrative Costs - Electric</t>
  </si>
  <si>
    <t>Administrative Costs - Gas</t>
  </si>
  <si>
    <t>Prior USF Admin:</t>
  </si>
  <si>
    <t>Month</t>
  </si>
  <si>
    <t>Actual/Forecast</t>
  </si>
  <si>
    <t>Current Period</t>
  </si>
  <si>
    <t>$ Transfer from State</t>
  </si>
  <si>
    <t>Summary Admin</t>
  </si>
  <si>
    <t>Elec  Pmts to State</t>
  </si>
  <si>
    <t>Gas Pmts to State</t>
  </si>
  <si>
    <t>Prj.Sales</t>
  </si>
  <si>
    <t>Gas Therms</t>
  </si>
  <si>
    <t>Electric MWh</t>
  </si>
  <si>
    <t>in (000)</t>
  </si>
  <si>
    <t>Elec State Recvd$ vs Costs</t>
  </si>
  <si>
    <t>Tax Rate</t>
  </si>
  <si>
    <t>Interest Rate</t>
  </si>
  <si>
    <t>Gas State Recvd$ vs Costs</t>
  </si>
  <si>
    <t>USF Rate Calc</t>
  </si>
  <si>
    <t>E&amp;G Annual Total</t>
  </si>
  <si>
    <t>Note 1:</t>
  </si>
  <si>
    <t>Note 2:</t>
  </si>
  <si>
    <t>Cost Time Period</t>
  </si>
  <si>
    <t>Over / (Under) Time Period</t>
  </si>
  <si>
    <t>Lifeline rate</t>
  </si>
  <si>
    <t>Current USF before tax rate - Electric</t>
  </si>
  <si>
    <t>Current USF before tax rate - Gas</t>
  </si>
  <si>
    <t>Current Lifeline before tax rate - Electric</t>
  </si>
  <si>
    <t>Current Lifeline before tax rate - Gas</t>
  </si>
  <si>
    <t>Summary</t>
  </si>
  <si>
    <t>Schedule Title</t>
  </si>
  <si>
    <t>Statutory Tax rate</t>
  </si>
  <si>
    <t>May amounts from BPU email filed in workpapers</t>
  </si>
  <si>
    <t>"estimate" months link to forecast workpaper from Forecasting</t>
  </si>
  <si>
    <t>"estimate" months equal to last month of actuals</t>
  </si>
  <si>
    <t>"estimate" months equal to April actuals</t>
  </si>
  <si>
    <t>from email from Peter Hilerio BPU filed in workpapers folder and titled: Lifeline Budget. Can be changed by BPU at time Order is issued thereby affecting rate</t>
  </si>
  <si>
    <t>Source:  Accounting email in workpaper folder</t>
  </si>
  <si>
    <t>rate remians unchanged until Oct 1 of each year</t>
  </si>
  <si>
    <t>Included in the Administrative Costs line for October are disbursements from Treasury related to distribution of utility administrative costs per the 9/11/15 Order  in BPU Docket No. ER15060732.</t>
  </si>
  <si>
    <t>PSE&amp;G Admin expense will always be zero unless the BPU orders a major IT program change to the USF/Lifeline program per Dkt EO09090771</t>
  </si>
  <si>
    <t>May actual transfer from Treasury</t>
  </si>
  <si>
    <t>BPU email</t>
  </si>
  <si>
    <t>This section only used in original filing!!</t>
  </si>
  <si>
    <t>estimate</t>
  </si>
  <si>
    <t>Per BPU order dated 9-26-16 Exhibit A-filed in  addt'l support in Actuals thru April folder</t>
  </si>
  <si>
    <t>CHECK RATES TO QTRLY</t>
  </si>
  <si>
    <t>Not provided until Actual</t>
  </si>
  <si>
    <t>Accounting rounded incorrectly-changed their "11" to "10"</t>
  </si>
  <si>
    <t>ADMINISTRATIVE COSTS-August through September 2017 (Prior USF Year)</t>
  </si>
  <si>
    <t>Statutory Tax rate effective Jan 1, 2018</t>
  </si>
  <si>
    <t>USF calculation of rates as of 10/1/18</t>
  </si>
  <si>
    <t>USF-Permanent program projections for Program Year 2019</t>
  </si>
  <si>
    <t>Est. program under/(over) recovery @ 9/30/18*</t>
  </si>
  <si>
    <t>* Actuals through April 2018. Estimated under/overrecovery is calculated as the difference between the USF expenditures (benefits to</t>
  </si>
  <si>
    <t>Lifeline calculation of rates as of 10/1/18</t>
  </si>
  <si>
    <t>* Normalized jurisdictional volumes for 12 mos beginning 10/1/18.</t>
  </si>
  <si>
    <t>Combined USF/Lifeline calculation of rates as of 10/1/18</t>
  </si>
  <si>
    <t>Tax rate Jan 1, 2018</t>
  </si>
  <si>
    <t>Tax Rate thru December 2017</t>
  </si>
  <si>
    <t>** Normalized jurisdictional volumes for 12 mos beginning 10/1/18.</t>
  </si>
  <si>
    <t>Accounting rounded incorrectly-changed their "64" to "65"</t>
  </si>
  <si>
    <t>Per BPU order dated 9-22-17 Exhibit A-filed in  addt'l support in Actuals thru April folder</t>
  </si>
  <si>
    <t>k=h*1.06625</t>
  </si>
  <si>
    <t>l=i*1.06625</t>
  </si>
  <si>
    <t>r=o*1.06625</t>
  </si>
  <si>
    <t>s=p*1.06625</t>
  </si>
  <si>
    <t>SUT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</si>
</sst>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&quot;$&quot;#,##0"/>
    <numFmt numFmtId="168" formatCode="&quot;$&quot;#,##0.0000"/>
    <numFmt numFmtId="169" formatCode="&quot;$&quot;#,##0.000000"/>
    <numFmt numFmtId="170" formatCode="_(* #,##0.0000_);_(* \(#,##0.0000\);_(* &quot;-&quot;??_);_(@_)"/>
    <numFmt numFmtId="171" formatCode="0.00000"/>
    <numFmt numFmtId="172" formatCode="&quot;$&quot;#,##0.0000_);\(&quot;$&quot;#,##0.0000\)"/>
    <numFmt numFmtId="173" formatCode="&quot;$&quot;#,##0.000000_);\(&quot;$&quot;#,##0.000000\)"/>
    <numFmt numFmtId="174" formatCode="0.000000%"/>
    <numFmt numFmtId="175" formatCode="_(&quot;$&quot;* #,##0_);_(&quot;$&quot;* \(#,##0\);_(&quot;$&quot;* &quot;-&quot;??_);_(@_)"/>
    <numFmt numFmtId="176" formatCode="&quot;$&quot;#,##0.0000000_);\(&quot;$&quot;#,##0.0000000\)"/>
    <numFmt numFmtId="177" formatCode="mm/dd/yy;@"/>
    <numFmt numFmtId="178" formatCode="#,##0;\(#,##0\)"/>
    <numFmt numFmtId="179" formatCode="#,##0.00000_);\(#,##0.00000\)"/>
    <numFmt numFmtId="180" formatCode="_(* #,##0.000000_);_(* \(#,##0.000000\);_(* &quot;-&quot;??_);_(@_)"/>
  </numFmts>
  <fonts count="3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u/>
      <sz val="10"/>
      <color indexed="10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theme="4"/>
      <name val="Arial"/>
      <family val="2"/>
    </font>
    <font>
      <sz val="10"/>
      <color theme="3"/>
      <name val="Arial"/>
      <family val="2"/>
    </font>
    <font>
      <sz val="10"/>
      <color theme="3" tint="0.3999755851924192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1"/>
      <name val="Symbol"/>
      <family val="1"/>
      <charset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5" fillId="0" borderId="0"/>
    <xf numFmtId="0" fontId="6" fillId="0" borderId="0"/>
    <xf numFmtId="0" fontId="6" fillId="0" borderId="0"/>
    <xf numFmtId="0" fontId="2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3">
    <xf numFmtId="0" fontId="0" fillId="0" borderId="0" xfId="0"/>
    <xf numFmtId="0" fontId="0" fillId="0" borderId="0" xfId="0" applyFill="1"/>
    <xf numFmtId="3" fontId="0" fillId="0" borderId="0" xfId="0" applyNumberFormat="1" applyFill="1"/>
    <xf numFmtId="5" fontId="0" fillId="0" borderId="0" xfId="0" applyNumberFormat="1" applyFill="1"/>
    <xf numFmtId="0" fontId="2" fillId="0" borderId="0" xfId="0" applyFont="1" applyFill="1" applyAlignment="1">
      <alignment horizontal="center"/>
    </xf>
    <xf numFmtId="37" fontId="0" fillId="0" borderId="0" xfId="0" applyNumberFormat="1" applyFill="1"/>
    <xf numFmtId="164" fontId="0" fillId="0" borderId="0" xfId="1" applyNumberFormat="1" applyFont="1" applyFill="1"/>
    <xf numFmtId="164" fontId="2" fillId="0" borderId="0" xfId="1" applyNumberFormat="1" applyFont="1" applyFill="1" applyAlignment="1">
      <alignment horizontal="center"/>
    </xf>
    <xf numFmtId="5" fontId="6" fillId="0" borderId="0" xfId="20" applyNumberFormat="1" applyFont="1" applyFill="1" applyBorder="1"/>
    <xf numFmtId="174" fontId="5" fillId="0" borderId="0" xfId="20" applyNumberFormat="1" applyFont="1" applyFill="1" applyAlignment="1">
      <alignment vertical="top"/>
    </xf>
    <xf numFmtId="165" fontId="5" fillId="0" borderId="0" xfId="20" applyNumberFormat="1" applyFont="1" applyFill="1" applyAlignment="1">
      <alignment vertical="top"/>
    </xf>
    <xf numFmtId="5" fontId="6" fillId="0" borderId="1" xfId="0" applyNumberFormat="1" applyFont="1" applyFill="1" applyBorder="1"/>
    <xf numFmtId="0" fontId="6" fillId="0" borderId="0" xfId="0" applyFont="1" applyFill="1"/>
    <xf numFmtId="0" fontId="0" fillId="0" borderId="0" xfId="0" quotePrefix="1" applyFill="1"/>
    <xf numFmtId="0" fontId="6" fillId="0" borderId="0" xfId="0" quotePrefix="1" applyFont="1" applyFill="1"/>
    <xf numFmtId="0" fontId="0" fillId="0" borderId="0" xfId="0" applyFill="1" applyBorder="1"/>
    <xf numFmtId="0" fontId="1" fillId="0" borderId="0" xfId="0" applyFont="1" applyFill="1"/>
    <xf numFmtId="5" fontId="6" fillId="0" borderId="1" xfId="1" applyNumberFormat="1" applyFont="1" applyFill="1" applyBorder="1"/>
    <xf numFmtId="44" fontId="0" fillId="0" borderId="0" xfId="0" applyNumberFormat="1" applyFill="1"/>
    <xf numFmtId="5" fontId="6" fillId="0" borderId="0" xfId="1" applyNumberFormat="1" applyFont="1" applyFill="1" applyBorder="1"/>
    <xf numFmtId="164" fontId="0" fillId="0" borderId="0" xfId="0" applyNumberFormat="1" applyFill="1"/>
    <xf numFmtId="0" fontId="0" fillId="0" borderId="0" xfId="0" applyFill="1" applyAlignment="1">
      <alignment horizontal="center"/>
    </xf>
    <xf numFmtId="5" fontId="6" fillId="0" borderId="0" xfId="0" applyNumberFormat="1" applyFont="1" applyFill="1"/>
    <xf numFmtId="0" fontId="6" fillId="0" borderId="0" xfId="0" quotePrefix="1" applyFont="1" applyFill="1" applyBorder="1"/>
    <xf numFmtId="3" fontId="19" fillId="0" borderId="0" xfId="0" applyNumberFormat="1" applyFont="1" applyFill="1"/>
    <xf numFmtId="0" fontId="19" fillId="0" borderId="0" xfId="0" applyFont="1" applyFill="1"/>
    <xf numFmtId="5" fontId="6" fillId="0" borderId="2" xfId="20" applyNumberFormat="1" applyFont="1" applyFill="1" applyBorder="1"/>
    <xf numFmtId="5" fontId="6" fillId="0" borderId="3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/>
    <xf numFmtId="10" fontId="6" fillId="0" borderId="0" xfId="20" applyNumberFormat="1" applyFont="1" applyFill="1"/>
    <xf numFmtId="37" fontId="6" fillId="0" borderId="0" xfId="1" applyNumberFormat="1" applyFont="1" applyFill="1"/>
    <xf numFmtId="37" fontId="6" fillId="0" borderId="0" xfId="0" applyNumberFormat="1" applyFont="1" applyFill="1"/>
    <xf numFmtId="3" fontId="6" fillId="0" borderId="0" xfId="0" applyNumberFormat="1" applyFont="1" applyFill="1"/>
    <xf numFmtId="17" fontId="0" fillId="0" borderId="0" xfId="0" applyNumberFormat="1" applyFill="1"/>
    <xf numFmtId="5" fontId="6" fillId="0" borderId="0" xfId="1" applyNumberFormat="1" applyFont="1" applyFill="1"/>
    <xf numFmtId="164" fontId="1" fillId="0" borderId="0" xfId="1" applyNumberFormat="1" applyFont="1" applyFill="1"/>
    <xf numFmtId="37" fontId="1" fillId="0" borderId="0" xfId="0" applyNumberFormat="1" applyFont="1" applyFill="1"/>
    <xf numFmtId="5" fontId="1" fillId="0" borderId="0" xfId="0" applyNumberFormat="1" applyFont="1" applyFill="1" applyBorder="1"/>
    <xf numFmtId="5" fontId="1" fillId="0" borderId="0" xfId="0" applyNumberFormat="1" applyFont="1" applyFill="1"/>
    <xf numFmtId="0" fontId="1" fillId="0" borderId="0" xfId="0" applyFont="1" applyFill="1" applyBorder="1"/>
    <xf numFmtId="5" fontId="21" fillId="0" borderId="0" xfId="1" applyNumberFormat="1" applyFont="1" applyFill="1"/>
    <xf numFmtId="164" fontId="21" fillId="0" borderId="0" xfId="1" applyNumberFormat="1" applyFont="1" applyFill="1" applyBorder="1"/>
    <xf numFmtId="0" fontId="21" fillId="0" borderId="0" xfId="0" applyFont="1" applyFill="1" applyBorder="1"/>
    <xf numFmtId="5" fontId="21" fillId="0" borderId="0" xfId="1" applyNumberFormat="1" applyFont="1" applyFill="1" applyBorder="1"/>
    <xf numFmtId="10" fontId="21" fillId="0" borderId="1" xfId="1" applyNumberFormat="1" applyFont="1" applyFill="1" applyBorder="1"/>
    <xf numFmtId="0" fontId="21" fillId="0" borderId="0" xfId="0" applyFont="1" applyFill="1"/>
    <xf numFmtId="0" fontId="23" fillId="0" borderId="0" xfId="0" applyFont="1" applyFill="1"/>
    <xf numFmtId="164" fontId="21" fillId="0" borderId="0" xfId="1" applyNumberFormat="1" applyFont="1" applyFill="1"/>
    <xf numFmtId="166" fontId="21" fillId="0" borderId="0" xfId="20" applyNumberFormat="1" applyFont="1" applyFill="1"/>
    <xf numFmtId="0" fontId="3" fillId="0" borderId="0" xfId="0" applyFont="1" applyFill="1"/>
    <xf numFmtId="5" fontId="6" fillId="0" borderId="2" xfId="0" applyNumberFormat="1" applyFont="1" applyFill="1" applyBorder="1"/>
    <xf numFmtId="5" fontId="6" fillId="0" borderId="0" xfId="0" applyNumberFormat="1" applyFont="1" applyFill="1" applyBorder="1"/>
    <xf numFmtId="177" fontId="6" fillId="0" borderId="0" xfId="0" applyNumberFormat="1" applyFont="1" applyFill="1"/>
    <xf numFmtId="177" fontId="6" fillId="0" borderId="0" xfId="0" quotePrefix="1" applyNumberFormat="1" applyFont="1" applyFill="1"/>
    <xf numFmtId="164" fontId="6" fillId="0" borderId="0" xfId="1" applyNumberFormat="1" applyFont="1" applyFill="1"/>
    <xf numFmtId="164" fontId="6" fillId="0" borderId="0" xfId="1" applyNumberFormat="1" applyFont="1" applyFill="1" applyBorder="1"/>
    <xf numFmtId="166" fontId="6" fillId="0" borderId="0" xfId="20" applyNumberFormat="1" applyFont="1" applyFill="1" applyBorder="1"/>
    <xf numFmtId="0" fontId="1" fillId="0" borderId="0" xfId="0" applyFont="1" applyFill="1" applyAlignment="1">
      <alignment horizontal="left"/>
    </xf>
    <xf numFmtId="5" fontId="23" fillId="0" borderId="0" xfId="0" applyNumberFormat="1" applyFont="1" applyFill="1"/>
    <xf numFmtId="37" fontId="23" fillId="0" borderId="0" xfId="0" applyNumberFormat="1" applyFont="1" applyFill="1"/>
    <xf numFmtId="7" fontId="6" fillId="0" borderId="0" xfId="1" applyNumberFormat="1" applyFont="1" applyFill="1" applyBorder="1"/>
    <xf numFmtId="0" fontId="0" fillId="0" borderId="0" xfId="0" applyFill="1" applyAlignment="1">
      <alignment horizontal="right"/>
    </xf>
    <xf numFmtId="10" fontId="21" fillId="0" borderId="0" xfId="1" applyNumberFormat="1" applyFont="1" applyFill="1" applyBorder="1"/>
    <xf numFmtId="5" fontId="0" fillId="0" borderId="0" xfId="0" applyNumberFormat="1" applyFill="1" applyAlignment="1">
      <alignment vertical="top"/>
    </xf>
    <xf numFmtId="171" fontId="6" fillId="0" borderId="2" xfId="0" applyNumberFormat="1" applyFont="1" applyFill="1" applyBorder="1"/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/>
    <xf numFmtId="166" fontId="1" fillId="0" borderId="0" xfId="20" applyNumberFormat="1" applyFont="1" applyFill="1"/>
    <xf numFmtId="167" fontId="1" fillId="0" borderId="0" xfId="1" applyNumberFormat="1" applyFont="1" applyFill="1"/>
    <xf numFmtId="0" fontId="1" fillId="0" borderId="0" xfId="0" quotePrefix="1" applyFont="1" applyFill="1"/>
    <xf numFmtId="167" fontId="21" fillId="0" borderId="0" xfId="20" applyNumberFormat="1" applyFont="1" applyFill="1"/>
    <xf numFmtId="167" fontId="21" fillId="0" borderId="0" xfId="20" applyNumberFormat="1" applyFont="1" applyFill="1" applyBorder="1"/>
    <xf numFmtId="167" fontId="0" fillId="0" borderId="0" xfId="1" applyNumberFormat="1" applyFont="1" applyFill="1"/>
    <xf numFmtId="167" fontId="21" fillId="0" borderId="0" xfId="1" applyNumberFormat="1" applyFont="1" applyFill="1" applyBorder="1"/>
    <xf numFmtId="0" fontId="8" fillId="0" borderId="0" xfId="0" applyFont="1" applyFill="1" applyAlignment="1">
      <alignment horizontal="right"/>
    </xf>
    <xf numFmtId="172" fontId="12" fillId="0" borderId="0" xfId="0" applyNumberFormat="1" applyFont="1" applyFill="1"/>
    <xf numFmtId="173" fontId="12" fillId="0" borderId="0" xfId="0" applyNumberFormat="1" applyFont="1" applyFill="1"/>
    <xf numFmtId="167" fontId="0" fillId="0" borderId="0" xfId="0" applyNumberFormat="1" applyFill="1" applyBorder="1"/>
    <xf numFmtId="172" fontId="0" fillId="0" borderId="0" xfId="0" applyNumberFormat="1" applyFill="1"/>
    <xf numFmtId="173" fontId="0" fillId="0" borderId="0" xfId="0" applyNumberFormat="1" applyFill="1"/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166" fontId="6" fillId="0" borderId="0" xfId="20" applyNumberFormat="1" applyFont="1" applyFill="1"/>
    <xf numFmtId="5" fontId="0" fillId="0" borderId="3" xfId="0" applyNumberFormat="1" applyFill="1" applyBorder="1"/>
    <xf numFmtId="5" fontId="6" fillId="0" borderId="0" xfId="0" applyNumberFormat="1" applyFont="1" applyFill="1" applyAlignment="1">
      <alignment horizontal="right"/>
    </xf>
    <xf numFmtId="0" fontId="17" fillId="0" borderId="0" xfId="0" applyFont="1" applyFill="1"/>
    <xf numFmtId="0" fontId="6" fillId="0" borderId="0" xfId="0" applyFont="1" applyFill="1" applyAlignment="1">
      <alignment horizontal="center"/>
    </xf>
    <xf numFmtId="1" fontId="0" fillId="0" borderId="0" xfId="0" applyNumberFormat="1" applyFill="1"/>
    <xf numFmtId="37" fontId="0" fillId="0" borderId="0" xfId="1" applyNumberFormat="1" applyFont="1" applyFill="1"/>
    <xf numFmtId="10" fontId="0" fillId="0" borderId="0" xfId="0" applyNumberFormat="1" applyFill="1"/>
    <xf numFmtId="0" fontId="5" fillId="0" borderId="0" xfId="0" applyFont="1" applyFill="1"/>
    <xf numFmtId="0" fontId="0" fillId="0" borderId="0" xfId="0" applyFill="1" applyAlignment="1">
      <alignment horizontal="left" indent="2"/>
    </xf>
    <xf numFmtId="6" fontId="6" fillId="0" borderId="0" xfId="0" applyNumberFormat="1" applyFont="1" applyFill="1"/>
    <xf numFmtId="0" fontId="9" fillId="0" borderId="0" xfId="0" applyFont="1" applyFill="1"/>
    <xf numFmtId="0" fontId="0" fillId="0" borderId="0" xfId="0" quotePrefix="1" applyFill="1" applyBorder="1"/>
    <xf numFmtId="0" fontId="0" fillId="0" borderId="0" xfId="0" quotePrefix="1" applyFill="1" applyAlignment="1">
      <alignment horizontal="left"/>
    </xf>
    <xf numFmtId="10" fontId="0" fillId="0" borderId="0" xfId="20" applyNumberFormat="1" applyFont="1" applyFill="1"/>
    <xf numFmtId="43" fontId="0" fillId="0" borderId="0" xfId="0" applyNumberFormat="1" applyFill="1"/>
    <xf numFmtId="9" fontId="2" fillId="0" borderId="0" xfId="20" applyFont="1" applyFill="1"/>
    <xf numFmtId="170" fontId="0" fillId="0" borderId="0" xfId="1" applyNumberFormat="1" applyFont="1" applyFill="1"/>
    <xf numFmtId="5" fontId="6" fillId="0" borderId="3" xfId="2" applyNumberFormat="1" applyFont="1" applyFill="1" applyBorder="1"/>
    <xf numFmtId="5" fontId="6" fillId="0" borderId="0" xfId="2" applyNumberFormat="1" applyFont="1" applyFill="1" applyBorder="1"/>
    <xf numFmtId="5" fontId="6" fillId="0" borderId="0" xfId="2" applyNumberFormat="1" applyFont="1" applyFill="1"/>
    <xf numFmtId="37" fontId="2" fillId="0" borderId="0" xfId="0" applyNumberFormat="1" applyFont="1" applyFill="1" applyBorder="1"/>
    <xf numFmtId="5" fontId="25" fillId="0" borderId="0" xfId="2" applyNumberFormat="1" applyFont="1" applyFill="1"/>
    <xf numFmtId="164" fontId="2" fillId="0" borderId="0" xfId="2" applyNumberFormat="1" applyFont="1" applyFill="1" applyAlignment="1">
      <alignment horizontal="center"/>
    </xf>
    <xf numFmtId="5" fontId="25" fillId="0" borderId="0" xfId="0" applyNumberFormat="1" applyFont="1" applyFill="1"/>
    <xf numFmtId="3" fontId="25" fillId="0" borderId="0" xfId="0" applyNumberFormat="1" applyFont="1" applyFill="1"/>
    <xf numFmtId="3" fontId="0" fillId="0" borderId="0" xfId="2" applyNumberFormat="1" applyFont="1" applyFill="1"/>
    <xf numFmtId="37" fontId="0" fillId="0" borderId="0" xfId="2" applyNumberFormat="1" applyFont="1" applyFill="1"/>
    <xf numFmtId="0" fontId="15" fillId="0" borderId="0" xfId="0" applyFont="1" applyFill="1"/>
    <xf numFmtId="0" fontId="14" fillId="0" borderId="0" xfId="0" applyFont="1" applyFill="1" applyBorder="1"/>
    <xf numFmtId="0" fontId="2" fillId="0" borderId="4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2" fillId="0" borderId="0" xfId="0" applyFont="1" applyFill="1" applyBorder="1"/>
    <xf numFmtId="0" fontId="12" fillId="0" borderId="0" xfId="0" applyFont="1" applyFill="1"/>
    <xf numFmtId="5" fontId="6" fillId="0" borderId="0" xfId="3" applyNumberFormat="1" applyFont="1" applyFill="1"/>
    <xf numFmtId="164" fontId="6" fillId="0" borderId="0" xfId="0" applyNumberFormat="1" applyFont="1" applyFill="1" applyBorder="1"/>
    <xf numFmtId="38" fontId="6" fillId="0" borderId="0" xfId="0" applyNumberFormat="1" applyFont="1" applyFill="1" applyBorder="1"/>
    <xf numFmtId="179" fontId="0" fillId="0" borderId="0" xfId="0" applyNumberFormat="1" applyFill="1" applyBorder="1"/>
    <xf numFmtId="175" fontId="6" fillId="0" borderId="0" xfId="0" applyNumberFormat="1" applyFont="1" applyFill="1" applyBorder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/>
    <xf numFmtId="173" fontId="2" fillId="0" borderId="0" xfId="0" applyNumberFormat="1" applyFont="1" applyFill="1"/>
    <xf numFmtId="9" fontId="6" fillId="0" borderId="0" xfId="20" applyNumberFormat="1" applyFont="1" applyFill="1" applyAlignment="1">
      <alignment horizontal="center"/>
    </xf>
    <xf numFmtId="9" fontId="0" fillId="0" borderId="0" xfId="2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166" fontId="6" fillId="0" borderId="0" xfId="20" applyNumberFormat="1" applyFont="1" applyFill="1" applyAlignment="1">
      <alignment horizontal="center"/>
    </xf>
    <xf numFmtId="166" fontId="0" fillId="0" borderId="0" xfId="20" applyNumberFormat="1" applyFont="1" applyFill="1" applyAlignment="1">
      <alignment horizontal="center"/>
    </xf>
    <xf numFmtId="167" fontId="1" fillId="0" borderId="3" xfId="0" applyNumberFormat="1" applyFont="1" applyFill="1" applyBorder="1"/>
    <xf numFmtId="3" fontId="23" fillId="0" borderId="0" xfId="0" applyNumberFormat="1" applyFont="1" applyFill="1"/>
    <xf numFmtId="172" fontId="23" fillId="0" borderId="0" xfId="0" applyNumberFormat="1" applyFont="1" applyFill="1"/>
    <xf numFmtId="173" fontId="23" fillId="0" borderId="0" xfId="0" applyNumberFormat="1" applyFont="1" applyFill="1"/>
    <xf numFmtId="176" fontId="0" fillId="0" borderId="0" xfId="0" applyNumberFormat="1" applyFill="1"/>
    <xf numFmtId="0" fontId="5" fillId="0" borderId="0" xfId="0" applyFont="1" applyFill="1" applyAlignment="1">
      <alignment horizontal="left"/>
    </xf>
    <xf numFmtId="0" fontId="10" fillId="0" borderId="0" xfId="0" applyFont="1" applyFill="1"/>
    <xf numFmtId="166" fontId="6" fillId="0" borderId="0" xfId="0" applyNumberFormat="1" applyFont="1" applyFill="1" applyAlignment="1">
      <alignment horizontal="center"/>
    </xf>
    <xf numFmtId="166" fontId="0" fillId="0" borderId="0" xfId="0" applyNumberFormat="1" applyFill="1"/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174" fontId="6" fillId="0" borderId="0" xfId="20" applyNumberFormat="1" applyFont="1" applyFill="1" applyAlignment="1">
      <alignment vertical="top"/>
    </xf>
    <xf numFmtId="167" fontId="0" fillId="0" borderId="0" xfId="0" applyNumberFormat="1" applyFill="1"/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5" fontId="19" fillId="0" borderId="0" xfId="0" applyNumberFormat="1" applyFont="1" applyFill="1"/>
    <xf numFmtId="43" fontId="19" fillId="0" borderId="0" xfId="1" applyFont="1" applyFill="1"/>
    <xf numFmtId="168" fontId="0" fillId="0" borderId="0" xfId="0" applyNumberFormat="1" applyFill="1"/>
    <xf numFmtId="169" fontId="0" fillId="0" borderId="0" xfId="0" applyNumberFormat="1" applyFill="1"/>
    <xf numFmtId="172" fontId="6" fillId="0" borderId="0" xfId="0" applyNumberFormat="1" applyFont="1" applyFill="1"/>
    <xf numFmtId="173" fontId="6" fillId="0" borderId="0" xfId="0" applyNumberFormat="1" applyFont="1" applyFill="1"/>
    <xf numFmtId="173" fontId="0" fillId="0" borderId="0" xfId="0" applyNumberFormat="1" applyFill="1" applyAlignment="1">
      <alignment wrapText="1"/>
    </xf>
    <xf numFmtId="0" fontId="0" fillId="0" borderId="0" xfId="0" applyFont="1" applyFill="1"/>
    <xf numFmtId="180" fontId="0" fillId="0" borderId="0" xfId="1" applyNumberFormat="1" applyFont="1" applyFill="1"/>
    <xf numFmtId="5" fontId="6" fillId="0" borderId="2" xfId="2" applyNumberFormat="1" applyFont="1" applyFill="1" applyBorder="1"/>
    <xf numFmtId="5" fontId="6" fillId="0" borderId="0" xfId="10" applyNumberFormat="1" applyFont="1" applyFill="1"/>
    <xf numFmtId="179" fontId="0" fillId="0" borderId="2" xfId="0" applyNumberFormat="1" applyFill="1" applyBorder="1"/>
    <xf numFmtId="5" fontId="0" fillId="0" borderId="0" xfId="20" applyNumberFormat="1" applyFont="1" applyFill="1"/>
    <xf numFmtId="167" fontId="6" fillId="0" borderId="3" xfId="0" applyNumberFormat="1" applyFont="1" applyFill="1" applyBorder="1"/>
    <xf numFmtId="0" fontId="2" fillId="0" borderId="0" xfId="0" applyFont="1" applyFill="1" applyAlignment="1">
      <alignment vertical="top"/>
    </xf>
    <xf numFmtId="5" fontId="6" fillId="0" borderId="0" xfId="0" applyNumberFormat="1" applyFont="1" applyFill="1" applyAlignment="1">
      <alignment vertical="top"/>
    </xf>
    <xf numFmtId="0" fontId="1" fillId="0" borderId="0" xfId="0" applyFont="1"/>
    <xf numFmtId="0" fontId="2" fillId="0" borderId="0" xfId="0" applyFont="1"/>
    <xf numFmtId="0" fontId="29" fillId="0" borderId="0" xfId="0" applyFont="1"/>
    <xf numFmtId="0" fontId="31" fillId="0" borderId="0" xfId="0" applyFont="1" applyFill="1"/>
    <xf numFmtId="0" fontId="0" fillId="0" borderId="0" xfId="0" applyBorder="1"/>
    <xf numFmtId="167" fontId="31" fillId="0" borderId="0" xfId="0" applyNumberFormat="1" applyFont="1" applyFill="1" applyBorder="1"/>
    <xf numFmtId="0" fontId="2" fillId="0" borderId="0" xfId="0" applyFont="1" applyFill="1" applyAlignment="1" applyProtection="1">
      <alignment horizontal="center"/>
      <protection locked="0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64" fontId="0" fillId="0" borderId="0" xfId="1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5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1" fillId="0" borderId="0" xfId="0" applyFont="1" applyFill="1" applyProtection="1">
      <protection locked="0"/>
    </xf>
    <xf numFmtId="5" fontId="1" fillId="0" borderId="0" xfId="1" applyNumberFormat="1" applyFont="1" applyFill="1" applyProtection="1">
      <protection locked="0"/>
    </xf>
    <xf numFmtId="5" fontId="1" fillId="0" borderId="0" xfId="1" applyNumberFormat="1" applyFont="1" applyFill="1" applyBorder="1" applyProtection="1">
      <protection locked="0"/>
    </xf>
    <xf numFmtId="5" fontId="1" fillId="0" borderId="0" xfId="0" applyNumberFormat="1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5" fontId="1" fillId="0" borderId="1" xfId="1" applyNumberFormat="1" applyFont="1" applyFill="1" applyBorder="1" applyProtection="1">
      <protection locked="0"/>
    </xf>
    <xf numFmtId="0" fontId="21" fillId="0" borderId="0" xfId="0" applyFont="1" applyFill="1" applyProtection="1">
      <protection locked="0"/>
    </xf>
    <xf numFmtId="5" fontId="1" fillId="0" borderId="0" xfId="0" applyNumberFormat="1" applyFont="1" applyFill="1" applyProtection="1">
      <protection locked="0"/>
    </xf>
    <xf numFmtId="0" fontId="1" fillId="0" borderId="0" xfId="0" applyFont="1" applyFill="1" applyProtection="1"/>
    <xf numFmtId="5" fontId="1" fillId="0" borderId="0" xfId="1" applyNumberFormat="1" applyFont="1" applyFill="1" applyProtection="1"/>
    <xf numFmtId="5" fontId="1" fillId="0" borderId="1" xfId="1" applyNumberFormat="1" applyFont="1" applyFill="1" applyBorder="1" applyProtection="1"/>
    <xf numFmtId="5" fontId="1" fillId="0" borderId="0" xfId="0" applyNumberFormat="1" applyFont="1" applyFill="1" applyProtection="1"/>
    <xf numFmtId="164" fontId="0" fillId="0" borderId="0" xfId="1" applyNumberFormat="1" applyFont="1" applyFill="1" applyProtection="1">
      <protection locked="0"/>
    </xf>
    <xf numFmtId="164" fontId="18" fillId="0" borderId="0" xfId="1" applyNumberFormat="1" applyFont="1" applyFill="1" applyProtection="1">
      <protection locked="0"/>
    </xf>
    <xf numFmtId="0" fontId="18" fillId="0" borderId="0" xfId="0" applyFont="1" applyFill="1" applyProtection="1">
      <protection locked="0"/>
    </xf>
    <xf numFmtId="164" fontId="2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5" fontId="21" fillId="0" borderId="0" xfId="1" applyNumberFormat="1" applyFont="1" applyFill="1" applyProtection="1">
      <protection locked="0"/>
    </xf>
    <xf numFmtId="5" fontId="21" fillId="0" borderId="2" xfId="1" applyNumberFormat="1" applyFont="1" applyFill="1" applyBorder="1" applyProtection="1">
      <protection locked="0"/>
    </xf>
    <xf numFmtId="5" fontId="21" fillId="0" borderId="0" xfId="1" applyNumberFormat="1" applyFont="1" applyFill="1" applyBorder="1" applyProtection="1">
      <protection locked="0"/>
    </xf>
    <xf numFmtId="5" fontId="21" fillId="0" borderId="0" xfId="0" applyNumberFormat="1" applyFont="1" applyFill="1" applyBorder="1" applyProtection="1">
      <protection locked="0"/>
    </xf>
    <xf numFmtId="5" fontId="6" fillId="0" borderId="3" xfId="3" applyNumberFormat="1" applyFont="1" applyFill="1" applyBorder="1" applyProtection="1">
      <protection locked="0"/>
    </xf>
    <xf numFmtId="5" fontId="21" fillId="0" borderId="3" xfId="1" applyNumberFormat="1" applyFont="1" applyFill="1" applyBorder="1" applyProtection="1">
      <protection locked="0"/>
    </xf>
    <xf numFmtId="5" fontId="6" fillId="0" borderId="0" xfId="2" applyNumberFormat="1" applyFont="1" applyFill="1" applyProtection="1">
      <protection locked="0"/>
    </xf>
    <xf numFmtId="5" fontId="25" fillId="0" borderId="0" xfId="2" applyNumberFormat="1" applyFont="1" applyFill="1" applyBorder="1" applyProtection="1">
      <protection locked="0"/>
    </xf>
    <xf numFmtId="5" fontId="6" fillId="0" borderId="0" xfId="2" applyNumberFormat="1" applyFont="1" applyFill="1" applyBorder="1" applyProtection="1">
      <protection locked="0"/>
    </xf>
    <xf numFmtId="5" fontId="0" fillId="0" borderId="0" xfId="0" applyNumberFormat="1" applyFill="1" applyProtection="1">
      <protection locked="0"/>
    </xf>
    <xf numFmtId="5" fontId="6" fillId="0" borderId="1" xfId="1" applyNumberFormat="1" applyFont="1" applyFill="1" applyBorder="1" applyProtection="1">
      <protection locked="0"/>
    </xf>
    <xf numFmtId="5" fontId="21" fillId="0" borderId="1" xfId="1" applyNumberFormat="1" applyFont="1" applyFill="1" applyBorder="1" applyProtection="1">
      <protection locked="0"/>
    </xf>
    <xf numFmtId="5" fontId="6" fillId="0" borderId="0" xfId="1" applyNumberFormat="1" applyFont="1" applyFill="1" applyBorder="1" applyProtection="1">
      <protection locked="0"/>
    </xf>
    <xf numFmtId="5" fontId="21" fillId="0" borderId="0" xfId="20" applyNumberFormat="1" applyFont="1" applyFill="1" applyBorder="1" applyProtection="1">
      <protection locked="0"/>
    </xf>
    <xf numFmtId="177" fontId="21" fillId="0" borderId="0" xfId="0" quotePrefix="1" applyNumberFormat="1" applyFont="1" applyFill="1" applyProtection="1">
      <protection locked="0"/>
    </xf>
    <xf numFmtId="10" fontId="21" fillId="0" borderId="0" xfId="20" applyNumberFormat="1" applyFont="1" applyFill="1" applyProtection="1">
      <protection locked="0"/>
    </xf>
    <xf numFmtId="10" fontId="0" fillId="0" borderId="0" xfId="0" applyNumberFormat="1" applyFill="1" applyProtection="1">
      <protection locked="0"/>
    </xf>
    <xf numFmtId="10" fontId="21" fillId="0" borderId="1" xfId="1" applyNumberFormat="1" applyFont="1" applyFill="1" applyBorder="1" applyProtection="1">
      <protection locked="0"/>
    </xf>
    <xf numFmtId="7" fontId="21" fillId="0" borderId="0" xfId="0" applyNumberFormat="1" applyFont="1" applyFill="1" applyProtection="1">
      <protection locked="0"/>
    </xf>
    <xf numFmtId="7" fontId="21" fillId="0" borderId="0" xfId="1" applyNumberFormat="1" applyFont="1" applyFill="1" applyProtection="1">
      <protection locked="0"/>
    </xf>
    <xf numFmtId="7" fontId="0" fillId="0" borderId="0" xfId="0" applyNumberFormat="1" applyFill="1" applyBorder="1" applyProtection="1">
      <protection locked="0"/>
    </xf>
    <xf numFmtId="7" fontId="0" fillId="0" borderId="0" xfId="0" applyNumberFormat="1" applyFill="1" applyProtection="1">
      <protection locked="0"/>
    </xf>
    <xf numFmtId="5" fontId="23" fillId="0" borderId="3" xfId="1" applyNumberFormat="1" applyFont="1" applyFill="1" applyBorder="1" applyProtection="1">
      <protection locked="0"/>
    </xf>
    <xf numFmtId="5" fontId="23" fillId="0" borderId="0" xfId="1" applyNumberFormat="1" applyFont="1" applyFill="1" applyBorder="1" applyProtection="1">
      <protection locked="0"/>
    </xf>
    <xf numFmtId="0" fontId="23" fillId="0" borderId="0" xfId="0" applyFont="1" applyFill="1" applyProtection="1">
      <protection locked="0"/>
    </xf>
    <xf numFmtId="5" fontId="6" fillId="0" borderId="0" xfId="3" applyNumberFormat="1" applyFont="1" applyFill="1" applyProtection="1">
      <protection locked="0"/>
    </xf>
    <xf numFmtId="5" fontId="23" fillId="0" borderId="0" xfId="1" applyNumberFormat="1" applyFont="1" applyFill="1" applyProtection="1">
      <protection locked="0"/>
    </xf>
    <xf numFmtId="5" fontId="23" fillId="0" borderId="1" xfId="1" applyNumberFormat="1" applyFont="1" applyFill="1" applyBorder="1" applyProtection="1">
      <protection locked="0"/>
    </xf>
    <xf numFmtId="5" fontId="6" fillId="0" borderId="0" xfId="0" applyNumberFormat="1" applyFont="1" applyFill="1" applyProtection="1">
      <protection locked="0"/>
    </xf>
    <xf numFmtId="5" fontId="6" fillId="0" borderId="0" xfId="1" applyNumberFormat="1" applyFont="1" applyFill="1" applyProtection="1">
      <protection locked="0"/>
    </xf>
    <xf numFmtId="0" fontId="22" fillId="0" borderId="0" xfId="0" applyFont="1" applyFill="1" applyProtection="1">
      <protection locked="0"/>
    </xf>
    <xf numFmtId="5" fontId="23" fillId="0" borderId="0" xfId="20" applyNumberFormat="1" applyFont="1" applyFill="1" applyBorder="1" applyProtection="1">
      <protection locked="0"/>
    </xf>
    <xf numFmtId="177" fontId="23" fillId="0" borderId="0" xfId="0" quotePrefix="1" applyNumberFormat="1" applyFont="1" applyFill="1" applyProtection="1">
      <protection locked="0"/>
    </xf>
    <xf numFmtId="10" fontId="6" fillId="0" borderId="0" xfId="20" applyNumberFormat="1" applyFont="1" applyFill="1" applyProtection="1">
      <protection locked="0"/>
    </xf>
    <xf numFmtId="5" fontId="23" fillId="0" borderId="0" xfId="0" applyNumberFormat="1" applyFont="1" applyFill="1" applyBorder="1" applyProtection="1">
      <protection locked="0"/>
    </xf>
    <xf numFmtId="5" fontId="4" fillId="0" borderId="0" xfId="1" applyNumberFormat="1" applyFont="1" applyFill="1" applyBorder="1" applyProtection="1">
      <protection locked="0"/>
    </xf>
    <xf numFmtId="5" fontId="0" fillId="0" borderId="0" xfId="1" applyNumberFormat="1" applyFont="1" applyFill="1" applyBorder="1" applyProtection="1">
      <protection locked="0"/>
    </xf>
    <xf numFmtId="5" fontId="1" fillId="0" borderId="3" xfId="1" applyNumberFormat="1" applyFont="1" applyFill="1" applyBorder="1" applyProtection="1">
      <protection locked="0"/>
    </xf>
    <xf numFmtId="5" fontId="6" fillId="0" borderId="1" xfId="3" applyNumberFormat="1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5" fontId="1" fillId="0" borderId="0" xfId="20" applyNumberFormat="1" applyFont="1" applyFill="1" applyBorder="1" applyProtection="1">
      <protection locked="0"/>
    </xf>
    <xf numFmtId="5" fontId="6" fillId="0" borderId="7" xfId="22" applyNumberFormat="1" applyFont="1" applyFill="1" applyBorder="1" applyProtection="1">
      <protection locked="0"/>
    </xf>
    <xf numFmtId="5" fontId="6" fillId="0" borderId="0" xfId="20" applyNumberFormat="1" applyFont="1" applyFill="1" applyBorder="1" applyProtection="1">
      <protection locked="0"/>
    </xf>
    <xf numFmtId="10" fontId="1" fillId="0" borderId="0" xfId="20" applyNumberFormat="1" applyFont="1" applyFill="1" applyProtection="1">
      <protection locked="0"/>
    </xf>
    <xf numFmtId="164" fontId="1" fillId="0" borderId="0" xfId="1" applyNumberFormat="1" applyFont="1" applyFill="1" applyBorder="1" applyProtection="1">
      <protection locked="0"/>
    </xf>
    <xf numFmtId="164" fontId="1" fillId="0" borderId="0" xfId="1" applyNumberFormat="1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164" fontId="6" fillId="0" borderId="0" xfId="1" applyNumberFormat="1" applyFont="1" applyFill="1" applyProtection="1">
      <protection locked="0"/>
    </xf>
    <xf numFmtId="166" fontId="6" fillId="0" borderId="0" xfId="20" applyNumberFormat="1" applyFont="1" applyFill="1" applyProtection="1">
      <protection locked="0"/>
    </xf>
    <xf numFmtId="164" fontId="6" fillId="0" borderId="0" xfId="1" applyNumberFormat="1" applyFont="1" applyFill="1" applyBorder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166" fontId="1" fillId="0" borderId="0" xfId="20" applyNumberFormat="1" applyFont="1" applyFill="1" applyProtection="1">
      <protection locked="0"/>
    </xf>
    <xf numFmtId="164" fontId="21" fillId="0" borderId="0" xfId="1" applyNumberFormat="1" applyFont="1" applyFill="1" applyProtection="1">
      <protection locked="0"/>
    </xf>
    <xf numFmtId="164" fontId="0" fillId="0" borderId="0" xfId="0" applyNumberFormat="1" applyFill="1" applyProtection="1">
      <protection locked="0"/>
    </xf>
    <xf numFmtId="167" fontId="21" fillId="0" borderId="0" xfId="1" applyNumberFormat="1" applyFont="1" applyFill="1" applyBorder="1" applyProtection="1">
      <protection locked="0"/>
    </xf>
    <xf numFmtId="167" fontId="0" fillId="0" borderId="0" xfId="1" applyNumberFormat="1" applyFont="1" applyFill="1" applyProtection="1">
      <protection locked="0"/>
    </xf>
    <xf numFmtId="167" fontId="21" fillId="0" borderId="0" xfId="20" applyNumberFormat="1" applyFont="1" applyFill="1" applyBorder="1" applyProtection="1">
      <protection locked="0"/>
    </xf>
    <xf numFmtId="167" fontId="1" fillId="0" borderId="0" xfId="1" applyNumberFormat="1" applyFont="1" applyFill="1" applyProtection="1">
      <protection locked="0"/>
    </xf>
    <xf numFmtId="166" fontId="6" fillId="0" borderId="0" xfId="20" applyNumberFormat="1" applyFont="1" applyFill="1" applyBorder="1" applyProtection="1">
      <protection locked="0"/>
    </xf>
    <xf numFmtId="167" fontId="21" fillId="0" borderId="0" xfId="20" applyNumberFormat="1" applyFont="1" applyFill="1" applyProtection="1">
      <protection locked="0"/>
    </xf>
    <xf numFmtId="10" fontId="21" fillId="0" borderId="0" xfId="1" applyNumberFormat="1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164" fontId="21" fillId="0" borderId="0" xfId="1" applyNumberFormat="1" applyFont="1" applyFill="1" applyBorder="1" applyProtection="1">
      <protection locked="0"/>
    </xf>
    <xf numFmtId="0" fontId="6" fillId="0" borderId="0" xfId="0" quotePrefix="1" applyFont="1" applyFill="1" applyProtection="1">
      <protection locked="0"/>
    </xf>
    <xf numFmtId="0" fontId="0" fillId="0" borderId="0" xfId="0" applyFill="1" applyProtection="1"/>
    <xf numFmtId="0" fontId="21" fillId="0" borderId="0" xfId="0" applyFont="1" applyFill="1" applyProtection="1"/>
    <xf numFmtId="5" fontId="21" fillId="0" borderId="3" xfId="1" applyNumberFormat="1" applyFont="1" applyFill="1" applyBorder="1" applyProtection="1"/>
    <xf numFmtId="10" fontId="21" fillId="0" borderId="0" xfId="20" applyNumberFormat="1" applyFont="1" applyFill="1" applyProtection="1"/>
    <xf numFmtId="5" fontId="21" fillId="0" borderId="0" xfId="1" applyNumberFormat="1" applyFont="1" applyFill="1" applyProtection="1"/>
    <xf numFmtId="0" fontId="6" fillId="0" borderId="0" xfId="0" applyFont="1" applyFill="1" applyProtection="1"/>
    <xf numFmtId="5" fontId="21" fillId="0" borderId="1" xfId="1" applyNumberFormat="1" applyFont="1" applyFill="1" applyBorder="1" applyProtection="1"/>
    <xf numFmtId="5" fontId="21" fillId="0" borderId="0" xfId="1" applyNumberFormat="1" applyFont="1" applyFill="1" applyBorder="1" applyProtection="1"/>
    <xf numFmtId="5" fontId="6" fillId="0" borderId="0" xfId="1" applyNumberFormat="1" applyFont="1" applyFill="1" applyBorder="1" applyProtection="1"/>
    <xf numFmtId="5" fontId="21" fillId="0" borderId="0" xfId="20" applyNumberFormat="1" applyFont="1" applyFill="1" applyBorder="1" applyProtection="1"/>
    <xf numFmtId="177" fontId="21" fillId="0" borderId="0" xfId="0" quotePrefix="1" applyNumberFormat="1" applyFont="1" applyFill="1" applyProtection="1"/>
    <xf numFmtId="10" fontId="21" fillId="0" borderId="1" xfId="1" applyNumberFormat="1" applyFont="1" applyFill="1" applyBorder="1" applyProtection="1"/>
    <xf numFmtId="5" fontId="1" fillId="0" borderId="0" xfId="1" applyNumberFormat="1" applyFont="1" applyFill="1" applyBorder="1" applyProtection="1"/>
    <xf numFmtId="0" fontId="2" fillId="0" borderId="0" xfId="0" applyFont="1" applyFill="1" applyProtection="1"/>
    <xf numFmtId="164" fontId="0" fillId="0" borderId="0" xfId="1" applyNumberFormat="1" applyFont="1" applyFill="1" applyProtection="1"/>
    <xf numFmtId="0" fontId="2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right"/>
    </xf>
    <xf numFmtId="164" fontId="2" fillId="0" borderId="0" xfId="1" applyNumberFormat="1" applyFont="1" applyFill="1" applyAlignment="1" applyProtection="1">
      <alignment horizontal="center"/>
    </xf>
    <xf numFmtId="5" fontId="0" fillId="0" borderId="0" xfId="1" applyNumberFormat="1" applyFont="1" applyFill="1" applyProtection="1"/>
    <xf numFmtId="0" fontId="2" fillId="0" borderId="0" xfId="0" applyFont="1" applyFill="1" applyProtection="1"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right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164" fontId="22" fillId="0" borderId="0" xfId="1" applyNumberFormat="1" applyFont="1" applyFill="1" applyAlignment="1" applyProtection="1">
      <alignment horizontal="center"/>
      <protection locked="0"/>
    </xf>
    <xf numFmtId="164" fontId="22" fillId="0" borderId="0" xfId="1" applyNumberFormat="1" applyFont="1" applyFill="1" applyBorder="1" applyAlignment="1" applyProtection="1">
      <alignment horizontal="center"/>
      <protection locked="0"/>
    </xf>
    <xf numFmtId="5" fontId="16" fillId="0" borderId="0" xfId="1" applyNumberFormat="1" applyFont="1" applyFill="1" applyBorder="1" applyProtection="1">
      <protection locked="0"/>
    </xf>
    <xf numFmtId="5" fontId="11" fillId="0" borderId="0" xfId="1" applyNumberFormat="1" applyFont="1" applyFill="1" applyBorder="1" applyProtection="1">
      <protection locked="0"/>
    </xf>
    <xf numFmtId="5" fontId="21" fillId="0" borderId="0" xfId="0" applyNumberFormat="1" applyFont="1" applyFill="1" applyProtection="1">
      <protection locked="0"/>
    </xf>
    <xf numFmtId="5" fontId="25" fillId="0" borderId="0" xfId="1" applyNumberFormat="1" applyFont="1" applyFill="1" applyBorder="1" applyProtection="1">
      <protection locked="0"/>
    </xf>
    <xf numFmtId="7" fontId="21" fillId="0" borderId="0" xfId="1" applyNumberFormat="1" applyFont="1" applyFill="1" applyBorder="1" applyProtection="1">
      <protection locked="0"/>
    </xf>
    <xf numFmtId="7" fontId="0" fillId="0" borderId="0" xfId="1" applyNumberFormat="1" applyFont="1" applyFill="1" applyBorder="1" applyProtection="1">
      <protection locked="0"/>
    </xf>
    <xf numFmtId="5" fontId="6" fillId="0" borderId="0" xfId="0" applyNumberFormat="1" applyFont="1" applyFill="1" applyBorder="1" applyProtection="1">
      <protection locked="0"/>
    </xf>
    <xf numFmtId="175" fontId="0" fillId="0" borderId="0" xfId="8" applyNumberFormat="1" applyFont="1" applyFill="1" applyBorder="1" applyProtection="1">
      <protection locked="0"/>
    </xf>
    <xf numFmtId="5" fontId="0" fillId="0" borderId="0" xfId="2" applyNumberFormat="1" applyFont="1" applyFill="1" applyBorder="1" applyProtection="1">
      <protection locked="0"/>
    </xf>
    <xf numFmtId="0" fontId="22" fillId="0" borderId="0" xfId="0" applyFont="1" applyFill="1" applyAlignment="1" applyProtection="1">
      <alignment horizontal="center"/>
    </xf>
    <xf numFmtId="0" fontId="23" fillId="0" borderId="0" xfId="0" applyFont="1" applyFill="1" applyProtection="1"/>
    <xf numFmtId="5" fontId="23" fillId="0" borderId="0" xfId="1" applyNumberFormat="1" applyFont="1" applyFill="1" applyProtection="1"/>
    <xf numFmtId="0" fontId="0" fillId="0" borderId="0" xfId="0" applyFill="1" applyBorder="1" applyProtection="1"/>
    <xf numFmtId="5" fontId="0" fillId="0" borderId="0" xfId="1" applyNumberFormat="1" applyFont="1" applyFill="1" applyBorder="1" applyProtection="1"/>
    <xf numFmtId="5" fontId="23" fillId="0" borderId="0" xfId="1" applyNumberFormat="1" applyFont="1" applyFill="1" applyBorder="1" applyProtection="1"/>
    <xf numFmtId="5" fontId="23" fillId="0" borderId="2" xfId="1" applyNumberFormat="1" applyFont="1" applyFill="1" applyBorder="1" applyProtection="1"/>
    <xf numFmtId="5" fontId="7" fillId="0" borderId="0" xfId="1" applyNumberFormat="1" applyFont="1" applyFill="1" applyProtection="1"/>
    <xf numFmtId="5" fontId="16" fillId="0" borderId="0" xfId="1" applyNumberFormat="1" applyFont="1" applyFill="1" applyBorder="1" applyProtection="1"/>
    <xf numFmtId="5" fontId="23" fillId="0" borderId="0" xfId="0" applyNumberFormat="1" applyFont="1" applyFill="1" applyProtection="1"/>
    <xf numFmtId="0" fontId="20" fillId="0" borderId="0" xfId="0" applyFont="1" applyFill="1" applyProtection="1"/>
    <xf numFmtId="5" fontId="0" fillId="0" borderId="0" xfId="0" applyNumberFormat="1" applyFill="1" applyBorder="1" applyProtection="1"/>
    <xf numFmtId="5" fontId="11" fillId="0" borderId="0" xfId="1" applyNumberFormat="1" applyFont="1" applyFill="1" applyBorder="1" applyProtection="1"/>
    <xf numFmtId="167" fontId="21" fillId="0" borderId="0" xfId="1" applyNumberFormat="1" applyFont="1" applyFill="1" applyBorder="1" applyProtection="1"/>
    <xf numFmtId="0" fontId="18" fillId="0" borderId="0" xfId="0" applyFont="1" applyFill="1" applyBorder="1" applyProtection="1">
      <protection locked="0"/>
    </xf>
    <xf numFmtId="0" fontId="8" fillId="0" borderId="0" xfId="0" applyFont="1" applyFill="1" applyAlignment="1" applyProtection="1">
      <alignment horizontal="right"/>
      <protection locked="0"/>
    </xf>
    <xf numFmtId="164" fontId="2" fillId="0" borderId="0" xfId="1" applyNumberFormat="1" applyFont="1" applyFill="1" applyAlignment="1" applyProtection="1">
      <alignment horizontal="center"/>
      <protection locked="0"/>
    </xf>
    <xf numFmtId="39" fontId="6" fillId="0" borderId="0" xfId="0" applyNumberFormat="1" applyFont="1" applyFill="1" applyAlignment="1" applyProtection="1">
      <alignment vertical="top"/>
      <protection locked="0"/>
    </xf>
    <xf numFmtId="175" fontId="6" fillId="0" borderId="0" xfId="1" applyNumberFormat="1" applyFont="1" applyFill="1" applyBorder="1" applyProtection="1">
      <protection locked="0"/>
    </xf>
    <xf numFmtId="5" fontId="6" fillId="0" borderId="0" xfId="1" applyNumberFormat="1" applyFont="1" applyFill="1" applyBorder="1" applyAlignment="1" applyProtection="1">
      <alignment horizontal="right"/>
      <protection locked="0"/>
    </xf>
    <xf numFmtId="5" fontId="4" fillId="0" borderId="0" xfId="20" applyNumberFormat="1" applyFont="1" applyFill="1" applyBorder="1" applyProtection="1">
      <protection locked="0"/>
    </xf>
    <xf numFmtId="5" fontId="6" fillId="0" borderId="0" xfId="3" applyNumberFormat="1" applyFont="1" applyFill="1" applyBorder="1" applyProtection="1">
      <protection locked="0"/>
    </xf>
    <xf numFmtId="43" fontId="0" fillId="0" borderId="0" xfId="0" applyNumberFormat="1" applyFill="1" applyBorder="1" applyProtection="1">
      <protection locked="0"/>
    </xf>
    <xf numFmtId="10" fontId="6" fillId="0" borderId="0" xfId="20" applyNumberFormat="1" applyFont="1" applyFill="1" applyBorder="1" applyProtection="1">
      <protection locked="0"/>
    </xf>
    <xf numFmtId="10" fontId="23" fillId="0" borderId="0" xfId="20" applyNumberFormat="1" applyFont="1" applyFill="1" applyBorder="1" applyProtection="1">
      <protection locked="0"/>
    </xf>
    <xf numFmtId="5" fontId="4" fillId="0" borderId="0" xfId="1" applyNumberFormat="1" applyFont="1" applyFill="1" applyProtection="1">
      <protection locked="0"/>
    </xf>
    <xf numFmtId="177" fontId="11" fillId="0" borderId="0" xfId="0" quotePrefix="1" applyNumberFormat="1" applyFont="1" applyFill="1" applyProtection="1">
      <protection locked="0"/>
    </xf>
    <xf numFmtId="10" fontId="4" fillId="0" borderId="0" xfId="20" applyNumberFormat="1" applyFont="1" applyFill="1" applyProtection="1">
      <protection locked="0"/>
    </xf>
    <xf numFmtId="165" fontId="23" fillId="0" borderId="0" xfId="20" applyNumberFormat="1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0" fillId="0" borderId="0" xfId="0" quotePrefix="1" applyFill="1" applyProtection="1">
      <protection locked="0"/>
    </xf>
    <xf numFmtId="166" fontId="0" fillId="0" borderId="0" xfId="20" applyNumberFormat="1" applyFont="1" applyFill="1" applyBorder="1" applyProtection="1">
      <protection locked="0"/>
    </xf>
    <xf numFmtId="166" fontId="21" fillId="0" borderId="0" xfId="20" applyNumberFormat="1" applyFont="1" applyFill="1" applyBorder="1" applyProtection="1">
      <protection locked="0"/>
    </xf>
    <xf numFmtId="166" fontId="7" fillId="0" borderId="0" xfId="20" applyNumberFormat="1" applyFont="1" applyFill="1" applyBorder="1" applyProtection="1">
      <protection locked="0"/>
    </xf>
    <xf numFmtId="166" fontId="12" fillId="0" borderId="0" xfId="20" applyNumberFormat="1" applyFont="1" applyFill="1" applyBorder="1" applyProtection="1">
      <protection locked="0"/>
    </xf>
    <xf numFmtId="166" fontId="0" fillId="0" borderId="0" xfId="20" applyNumberFormat="1" applyFont="1" applyFill="1" applyProtection="1">
      <protection locked="0"/>
    </xf>
    <xf numFmtId="166" fontId="21" fillId="0" borderId="0" xfId="20" applyNumberFormat="1" applyFont="1" applyFill="1" applyProtection="1">
      <protection locked="0"/>
    </xf>
    <xf numFmtId="5" fontId="6" fillId="0" borderId="0" xfId="1" applyNumberFormat="1" applyFont="1" applyFill="1" applyProtection="1"/>
    <xf numFmtId="0" fontId="3" fillId="0" borderId="0" xfId="0" applyFont="1" applyFill="1" applyProtection="1"/>
    <xf numFmtId="7" fontId="6" fillId="0" borderId="0" xfId="1" applyNumberFormat="1" applyFont="1" applyFill="1" applyBorder="1" applyProtection="1"/>
    <xf numFmtId="7" fontId="0" fillId="0" borderId="0" xfId="0" applyNumberFormat="1" applyFill="1" applyBorder="1" applyProtection="1"/>
    <xf numFmtId="5" fontId="6" fillId="0" borderId="0" xfId="0" applyNumberFormat="1" applyFont="1" applyFill="1" applyProtection="1"/>
    <xf numFmtId="5" fontId="0" fillId="0" borderId="0" xfId="0" applyNumberForma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5" fontId="6" fillId="0" borderId="0" xfId="1" applyNumberFormat="1" applyFont="1" applyFill="1" applyBorder="1" applyAlignment="1" applyProtection="1">
      <alignment horizontal="right"/>
    </xf>
    <xf numFmtId="0" fontId="31" fillId="2" borderId="0" xfId="0" applyFont="1" applyFill="1"/>
    <xf numFmtId="0" fontId="1" fillId="2" borderId="0" xfId="0" applyFont="1" applyFill="1"/>
    <xf numFmtId="0" fontId="3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10" fontId="31" fillId="2" borderId="0" xfId="0" applyNumberFormat="1" applyFont="1" applyFill="1"/>
    <xf numFmtId="10" fontId="1" fillId="2" borderId="0" xfId="0" applyNumberFormat="1" applyFont="1" applyFill="1"/>
    <xf numFmtId="0" fontId="3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5" fontId="31" fillId="2" borderId="0" xfId="0" applyNumberFormat="1" applyFont="1" applyFill="1" applyBorder="1"/>
    <xf numFmtId="167" fontId="32" fillId="2" borderId="0" xfId="0" applyNumberFormat="1" applyFont="1" applyFill="1"/>
    <xf numFmtId="0" fontId="21" fillId="2" borderId="0" xfId="0" applyFont="1" applyFill="1"/>
    <xf numFmtId="177" fontId="6" fillId="2" borderId="0" xfId="0" applyNumberFormat="1" applyFont="1" applyFill="1"/>
    <xf numFmtId="167" fontId="31" fillId="2" borderId="0" xfId="0" applyNumberFormat="1" applyFont="1" applyFill="1" applyBorder="1"/>
    <xf numFmtId="0" fontId="31" fillId="2" borderId="0" xfId="0" applyFont="1" applyFill="1" applyAlignment="1">
      <alignment horizontal="center"/>
    </xf>
    <xf numFmtId="37" fontId="31" fillId="2" borderId="0" xfId="0" applyNumberFormat="1" applyFont="1" applyFill="1"/>
    <xf numFmtId="167" fontId="30" fillId="2" borderId="0" xfId="0" applyNumberFormat="1" applyFont="1" applyFill="1"/>
    <xf numFmtId="5" fontId="31" fillId="2" borderId="0" xfId="0" applyNumberFormat="1" applyFont="1" applyFill="1" applyBorder="1" applyAlignment="1">
      <alignment horizontal="right"/>
    </xf>
    <xf numFmtId="0" fontId="2" fillId="3" borderId="0" xfId="0" applyFont="1" applyFill="1"/>
    <xf numFmtId="0" fontId="1" fillId="3" borderId="0" xfId="0" applyFont="1" applyFill="1"/>
    <xf numFmtId="0" fontId="21" fillId="3" borderId="0" xfId="0" applyFont="1" applyFill="1"/>
    <xf numFmtId="0" fontId="0" fillId="3" borderId="0" xfId="0" applyFill="1"/>
    <xf numFmtId="0" fontId="6" fillId="3" borderId="0" xfId="0" applyFont="1" applyFill="1"/>
    <xf numFmtId="37" fontId="31" fillId="4" borderId="0" xfId="0" applyNumberFormat="1" applyFont="1" applyFill="1" applyBorder="1"/>
    <xf numFmtId="37" fontId="31" fillId="4" borderId="0" xfId="0" applyNumberFormat="1" applyFont="1" applyFill="1"/>
    <xf numFmtId="0" fontId="14" fillId="0" borderId="0" xfId="0" applyFont="1"/>
    <xf numFmtId="0" fontId="1" fillId="0" borderId="0" xfId="0" applyFont="1" applyAlignment="1">
      <alignment vertical="center"/>
    </xf>
    <xf numFmtId="164" fontId="6" fillId="0" borderId="2" xfId="1" applyNumberFormat="1" applyFont="1" applyFill="1" applyBorder="1"/>
    <xf numFmtId="0" fontId="1" fillId="0" borderId="0" xfId="0" applyFont="1" applyAlignment="1">
      <alignment horizontal="left" indent="2"/>
    </xf>
    <xf numFmtId="0" fontId="1" fillId="5" borderId="0" xfId="0" applyFont="1" applyFill="1"/>
    <xf numFmtId="0" fontId="0" fillId="5" borderId="0" xfId="0" applyFill="1"/>
    <xf numFmtId="0" fontId="1" fillId="5" borderId="0" xfId="0" applyFont="1" applyFill="1" applyAlignment="1">
      <alignment horizontal="left" indent="2"/>
    </xf>
    <xf numFmtId="0" fontId="1" fillId="6" borderId="0" xfId="0" applyFont="1" applyFill="1"/>
    <xf numFmtId="0" fontId="0" fillId="6" borderId="0" xfId="0" applyFill="1"/>
    <xf numFmtId="167" fontId="0" fillId="0" borderId="0" xfId="0" applyNumberFormat="1" applyFill="1" applyBorder="1" applyProtection="1"/>
    <xf numFmtId="5" fontId="4" fillId="0" borderId="0" xfId="1" applyNumberFormat="1" applyFont="1" applyFill="1" applyBorder="1" applyProtection="1"/>
    <xf numFmtId="173" fontId="1" fillId="2" borderId="0" xfId="0" applyNumberFormat="1" applyFont="1" applyFill="1" applyBorder="1"/>
    <xf numFmtId="173" fontId="31" fillId="2" borderId="0" xfId="0" applyNumberFormat="1" applyFont="1" applyFill="1" applyBorder="1"/>
    <xf numFmtId="172" fontId="31" fillId="2" borderId="0" xfId="0" applyNumberFormat="1" applyFont="1" applyFill="1" applyBorder="1"/>
    <xf numFmtId="5" fontId="1" fillId="0" borderId="0" xfId="3" applyNumberFormat="1" applyFont="1" applyFill="1" applyBorder="1" applyProtection="1">
      <protection locked="0"/>
    </xf>
    <xf numFmtId="5" fontId="1" fillId="7" borderId="0" xfId="0" applyNumberFormat="1" applyFont="1" applyFill="1" applyAlignment="1">
      <alignment vertical="top"/>
    </xf>
    <xf numFmtId="167" fontId="1" fillId="7" borderId="3" xfId="0" applyNumberFormat="1" applyFont="1" applyFill="1" applyBorder="1"/>
    <xf numFmtId="7" fontId="1" fillId="0" borderId="0" xfId="0" applyNumberFormat="1" applyFont="1" applyFill="1" applyBorder="1"/>
    <xf numFmtId="7" fontId="0" fillId="0" borderId="0" xfId="0" applyNumberFormat="1" applyFill="1" applyBorder="1"/>
    <xf numFmtId="7" fontId="0" fillId="0" borderId="0" xfId="0" applyNumberFormat="1" applyFill="1"/>
    <xf numFmtId="167" fontId="31" fillId="2" borderId="0" xfId="1" applyNumberFormat="1" applyFont="1" applyFill="1"/>
    <xf numFmtId="167" fontId="32" fillId="4" borderId="0" xfId="0" applyNumberFormat="1" applyFont="1" applyFill="1"/>
    <xf numFmtId="167" fontId="31" fillId="4" borderId="0" xfId="0" applyNumberFormat="1" applyFont="1" applyFill="1" applyBorder="1"/>
    <xf numFmtId="10" fontId="31" fillId="4" borderId="0" xfId="0" applyNumberFormat="1" applyFont="1" applyFill="1"/>
    <xf numFmtId="5" fontId="31" fillId="4" borderId="0" xfId="0" applyNumberFormat="1" applyFont="1" applyFill="1"/>
    <xf numFmtId="10" fontId="1" fillId="4" borderId="0" xfId="0" applyNumberFormat="1" applyFont="1" applyFill="1"/>
    <xf numFmtId="178" fontId="31" fillId="4" borderId="0" xfId="0" applyNumberFormat="1" applyFont="1" applyFill="1"/>
    <xf numFmtId="0" fontId="1" fillId="0" borderId="0" xfId="28" applyFont="1" applyFill="1" applyProtection="1">
      <protection locked="0"/>
    </xf>
    <xf numFmtId="5" fontId="1" fillId="0" borderId="0" xfId="30" applyNumberFormat="1" applyFont="1" applyFill="1" applyProtection="1">
      <protection locked="0"/>
    </xf>
    <xf numFmtId="172" fontId="7" fillId="0" borderId="0" xfId="0" applyNumberFormat="1" applyFont="1" applyFill="1"/>
    <xf numFmtId="173" fontId="7" fillId="0" borderId="0" xfId="0" applyNumberFormat="1" applyFont="1" applyFill="1"/>
    <xf numFmtId="165" fontId="0" fillId="0" borderId="0" xfId="0" applyNumberFormat="1" applyFill="1"/>
    <xf numFmtId="0" fontId="6" fillId="0" borderId="0" xfId="0" applyFont="1" applyFill="1" applyAlignment="1">
      <alignment wrapText="1"/>
    </xf>
    <xf numFmtId="5" fontId="1" fillId="0" borderId="3" xfId="30" applyNumberFormat="1" applyFont="1" applyFill="1" applyBorder="1" applyProtection="1">
      <protection locked="0"/>
    </xf>
    <xf numFmtId="5" fontId="1" fillId="0" borderId="0" xfId="29" applyNumberFormat="1" applyFont="1" applyFill="1" applyProtection="1">
      <protection locked="0"/>
    </xf>
    <xf numFmtId="5" fontId="1" fillId="0" borderId="0" xfId="29" applyNumberFormat="1" applyFont="1" applyFill="1" applyBorder="1" applyProtection="1">
      <protection locked="0"/>
    </xf>
    <xf numFmtId="5" fontId="1" fillId="0" borderId="0" xfId="28" applyNumberFormat="1" applyFill="1" applyProtection="1">
      <protection locked="0"/>
    </xf>
    <xf numFmtId="5" fontId="1" fillId="0" borderId="3" xfId="36" applyNumberFormat="1" applyFont="1" applyFill="1" applyBorder="1" applyProtection="1">
      <protection locked="0"/>
    </xf>
    <xf numFmtId="5" fontId="1" fillId="0" borderId="3" xfId="15" applyNumberFormat="1" applyFont="1" applyFill="1" applyBorder="1" applyProtection="1">
      <protection locked="0"/>
    </xf>
    <xf numFmtId="167" fontId="1" fillId="0" borderId="0" xfId="36" applyNumberFormat="1" applyFont="1" applyFill="1" applyProtection="1">
      <protection locked="0"/>
    </xf>
    <xf numFmtId="5" fontId="1" fillId="0" borderId="2" xfId="30" applyNumberFormat="1" applyFont="1" applyFill="1" applyBorder="1" applyProtection="1">
      <protection locked="0"/>
    </xf>
    <xf numFmtId="5" fontId="0" fillId="0" borderId="3" xfId="0" applyNumberFormat="1" applyFill="1" applyBorder="1" applyProtection="1"/>
    <xf numFmtId="5" fontId="21" fillId="0" borderId="0" xfId="20" applyNumberFormat="1" applyFont="1" applyFill="1" applyProtection="1"/>
    <xf numFmtId="5" fontId="0" fillId="0" borderId="0" xfId="0" applyNumberFormat="1" applyFill="1" applyProtection="1"/>
    <xf numFmtId="44" fontId="0" fillId="0" borderId="0" xfId="0" applyNumberFormat="1" applyFill="1" applyProtection="1"/>
    <xf numFmtId="5" fontId="21" fillId="0" borderId="2" xfId="20" applyNumberFormat="1" applyFont="1" applyFill="1" applyBorder="1" applyProtection="1"/>
    <xf numFmtId="10" fontId="0" fillId="0" borderId="0" xfId="0" applyNumberFormat="1" applyFill="1" applyProtection="1"/>
    <xf numFmtId="5" fontId="1" fillId="0" borderId="3" xfId="3" applyNumberFormat="1" applyFont="1" applyFill="1" applyBorder="1"/>
    <xf numFmtId="5" fontId="1" fillId="0" borderId="0" xfId="2" applyNumberFormat="1" applyFont="1" applyFill="1"/>
    <xf numFmtId="5" fontId="1" fillId="0" borderId="0" xfId="2" applyNumberFormat="1" applyFont="1" applyFill="1" applyBorder="1"/>
    <xf numFmtId="5" fontId="1" fillId="0" borderId="0" xfId="3" applyNumberFormat="1" applyFont="1" applyFill="1"/>
    <xf numFmtId="5" fontId="1" fillId="0" borderId="3" xfId="30" applyNumberFormat="1" applyFont="1" applyFill="1" applyBorder="1"/>
    <xf numFmtId="5" fontId="1" fillId="0" borderId="0" xfId="30" applyNumberFormat="1" applyFont="1" applyFill="1"/>
    <xf numFmtId="5" fontId="1" fillId="0" borderId="0" xfId="0" applyNumberFormat="1" applyFont="1" applyFill="1" applyAlignment="1">
      <alignment horizontal="right"/>
    </xf>
    <xf numFmtId="5" fontId="1" fillId="0" borderId="3" xfId="1" applyNumberFormat="1" applyFont="1" applyFill="1" applyBorder="1"/>
    <xf numFmtId="5" fontId="1" fillId="0" borderId="0" xfId="1" applyNumberFormat="1" applyFont="1" applyFill="1"/>
    <xf numFmtId="5" fontId="1" fillId="0" borderId="0" xfId="30" applyNumberFormat="1" applyFont="1" applyFill="1" applyBorder="1"/>
    <xf numFmtId="5" fontId="1" fillId="0" borderId="0" xfId="1" applyNumberFormat="1" applyFont="1" applyFill="1" applyBorder="1"/>
    <xf numFmtId="5" fontId="1" fillId="0" borderId="2" xfId="1" applyNumberFormat="1" applyFont="1" applyFill="1" applyBorder="1"/>
    <xf numFmtId="37" fontId="1" fillId="0" borderId="0" xfId="42" applyNumberFormat="1" applyFill="1"/>
    <xf numFmtId="3" fontId="1" fillId="0" borderId="0" xfId="0" applyNumberFormat="1" applyFont="1" applyFill="1"/>
    <xf numFmtId="37" fontId="6" fillId="0" borderId="0" xfId="0" applyNumberFormat="1" applyFont="1" applyFill="1" applyBorder="1"/>
    <xf numFmtId="37" fontId="1" fillId="0" borderId="0" xfId="30" applyNumberFormat="1" applyFont="1" applyFill="1" applyProtection="1">
      <protection locked="0"/>
    </xf>
    <xf numFmtId="37" fontId="1" fillId="0" borderId="0" xfId="3" applyNumberFormat="1" applyFont="1" applyFill="1"/>
    <xf numFmtId="37" fontId="1" fillId="0" borderId="0" xfId="30" applyNumberFormat="1" applyFont="1" applyFill="1"/>
    <xf numFmtId="164" fontId="1" fillId="0" borderId="0" xfId="30" applyNumberFormat="1" applyFont="1" applyFill="1"/>
    <xf numFmtId="179" fontId="1" fillId="0" borderId="0" xfId="42" applyNumberFormat="1" applyFill="1"/>
    <xf numFmtId="164" fontId="1" fillId="0" borderId="0" xfId="19" applyNumberFormat="1" applyFont="1" applyFill="1" applyBorder="1" applyAlignment="1"/>
    <xf numFmtId="179" fontId="0" fillId="0" borderId="0" xfId="0" applyNumberFormat="1" applyFill="1"/>
    <xf numFmtId="5" fontId="1" fillId="0" borderId="1" xfId="0" applyNumberFormat="1" applyFont="1" applyFill="1" applyBorder="1"/>
    <xf numFmtId="0" fontId="1" fillId="0" borderId="2" xfId="0" applyFont="1" applyFill="1" applyBorder="1"/>
    <xf numFmtId="3" fontId="1" fillId="0" borderId="0" xfId="30" applyNumberFormat="1" applyFont="1" applyFill="1"/>
    <xf numFmtId="41" fontId="1" fillId="0" borderId="0" xfId="0" applyNumberFormat="1" applyFont="1" applyFill="1"/>
    <xf numFmtId="167" fontId="0" fillId="0" borderId="0" xfId="20" applyNumberFormat="1" applyFont="1" applyFill="1"/>
    <xf numFmtId="5" fontId="1" fillId="0" borderId="2" xfId="15" applyNumberFormat="1" applyFont="1" applyFill="1" applyBorder="1" applyAlignment="1" applyProtection="1">
      <protection locked="0"/>
    </xf>
    <xf numFmtId="5" fontId="0" fillId="0" borderId="2" xfId="0" applyNumberFormat="1" applyFill="1" applyBorder="1" applyAlignment="1" applyProtection="1">
      <alignment horizontal="right"/>
    </xf>
    <xf numFmtId="167" fontId="0" fillId="0" borderId="0" xfId="0" applyNumberFormat="1" applyFill="1" applyProtection="1"/>
    <xf numFmtId="5" fontId="1" fillId="0" borderId="2" xfId="0" applyNumberFormat="1" applyFont="1" applyFill="1" applyBorder="1" applyProtection="1">
      <protection locked="0"/>
    </xf>
    <xf numFmtId="5" fontId="0" fillId="0" borderId="2" xfId="0" applyNumberFormat="1" applyFill="1" applyBorder="1" applyProtection="1"/>
    <xf numFmtId="0" fontId="1" fillId="3" borderId="0" xfId="0" applyFont="1" applyFill="1" applyBorder="1"/>
    <xf numFmtId="0" fontId="31" fillId="5" borderId="0" xfId="0" applyFont="1" applyFill="1"/>
    <xf numFmtId="0" fontId="1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left" wrapText="1"/>
    </xf>
    <xf numFmtId="0" fontId="0" fillId="5" borderId="0" xfId="0" applyFont="1" applyFill="1"/>
    <xf numFmtId="0" fontId="0" fillId="5" borderId="0" xfId="0" applyFill="1" applyAlignment="1">
      <alignment horizontal="center"/>
    </xf>
    <xf numFmtId="172" fontId="0" fillId="5" borderId="0" xfId="0" applyNumberFormat="1" applyFill="1"/>
    <xf numFmtId="173" fontId="0" fillId="5" borderId="0" xfId="0" applyNumberFormat="1" applyFill="1"/>
    <xf numFmtId="0" fontId="31" fillId="5" borderId="0" xfId="0" applyFont="1" applyFill="1" applyAlignment="1">
      <alignment horizontal="left"/>
    </xf>
    <xf numFmtId="167" fontId="31" fillId="2" borderId="0" xfId="0" applyNumberFormat="1" applyFont="1" applyFill="1"/>
    <xf numFmtId="0" fontId="0" fillId="8" borderId="0" xfId="0" applyFill="1"/>
    <xf numFmtId="5" fontId="31" fillId="2" borderId="0" xfId="1" applyNumberFormat="1" applyFont="1" applyFill="1"/>
    <xf numFmtId="10" fontId="31" fillId="2" borderId="0" xfId="20" applyNumberFormat="1" applyFont="1" applyFill="1"/>
    <xf numFmtId="10" fontId="1" fillId="2" borderId="0" xfId="20" applyNumberFormat="1" applyFont="1" applyFill="1"/>
    <xf numFmtId="44" fontId="31" fillId="2" borderId="0" xfId="0" applyNumberFormat="1" applyFont="1" applyFill="1" applyBorder="1"/>
    <xf numFmtId="5" fontId="1" fillId="0" borderId="1" xfId="1" applyNumberFormat="1" applyFont="1" applyFill="1" applyBorder="1"/>
    <xf numFmtId="5" fontId="1" fillId="0" borderId="0" xfId="1" applyNumberFormat="1" applyFont="1" applyFill="1" applyBorder="1" applyAlignment="1" applyProtection="1">
      <alignment horizontal="right"/>
      <protection locked="0"/>
    </xf>
    <xf numFmtId="5" fontId="1" fillId="0" borderId="0" xfId="30" applyNumberFormat="1" applyFont="1" applyFill="1" applyBorder="1" applyProtection="1">
      <protection locked="0"/>
    </xf>
    <xf numFmtId="167" fontId="0" fillId="0" borderId="0" xfId="0" applyNumberFormat="1" applyFill="1" applyBorder="1" applyProtection="1">
      <protection locked="0"/>
    </xf>
    <xf numFmtId="167" fontId="1" fillId="0" borderId="0" xfId="30" applyNumberFormat="1" applyFont="1" applyFill="1" applyProtection="1">
      <protection locked="0"/>
    </xf>
    <xf numFmtId="5" fontId="1" fillId="0" borderId="2" xfId="1" applyNumberFormat="1" applyFont="1" applyFill="1" applyBorder="1" applyProtection="1">
      <protection locked="0"/>
    </xf>
    <xf numFmtId="167" fontId="1" fillId="0" borderId="2" xfId="1" applyNumberFormat="1" applyFont="1" applyFill="1" applyBorder="1" applyProtection="1">
      <protection locked="0"/>
    </xf>
    <xf numFmtId="167" fontId="0" fillId="0" borderId="2" xfId="0" applyNumberFormat="1" applyFill="1" applyBorder="1" applyProtection="1">
      <protection locked="0"/>
    </xf>
    <xf numFmtId="167" fontId="1" fillId="0" borderId="2" xfId="30" applyNumberFormat="1" applyFont="1" applyFill="1" applyBorder="1" applyProtection="1">
      <protection locked="0"/>
    </xf>
    <xf numFmtId="7" fontId="6" fillId="0" borderId="0" xfId="0" applyNumberFormat="1" applyFont="1" applyFill="1"/>
    <xf numFmtId="167" fontId="0" fillId="0" borderId="0" xfId="0" applyNumberFormat="1"/>
    <xf numFmtId="0" fontId="1" fillId="0" borderId="0" xfId="0" applyFont="1" applyFill="1" applyAlignment="1">
      <alignment horizontal="center"/>
    </xf>
    <xf numFmtId="171" fontId="0" fillId="0" borderId="0" xfId="20" applyNumberFormat="1" applyFont="1"/>
    <xf numFmtId="3" fontId="1" fillId="0" borderId="0" xfId="30" applyNumberFormat="1" applyFont="1" applyFill="1"/>
    <xf numFmtId="5" fontId="6" fillId="0" borderId="2" xfId="1" applyNumberFormat="1" applyFont="1" applyFill="1" applyBorder="1"/>
    <xf numFmtId="43" fontId="37" fillId="2" borderId="0" xfId="1" applyFont="1" applyFill="1"/>
    <xf numFmtId="0" fontId="36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74" fontId="5" fillId="0" borderId="0" xfId="2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67" fontId="5" fillId="0" borderId="0" xfId="20" applyNumberFormat="1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6" fillId="0" borderId="0" xfId="0" applyFont="1" applyFill="1" applyAlignment="1">
      <alignment wrapText="1"/>
    </xf>
    <xf numFmtId="39" fontId="0" fillId="0" borderId="0" xfId="0" applyNumberFormat="1" applyFill="1" applyAlignment="1">
      <alignment vertical="top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 applyProtection="1">
      <alignment wrapText="1"/>
      <protection locked="0"/>
    </xf>
  </cellXfs>
  <cellStyles count="50">
    <cellStyle name="Comma" xfId="1" builtinId="3"/>
    <cellStyle name="Comma 2" xfId="2"/>
    <cellStyle name="Comma 2 2" xfId="3"/>
    <cellStyle name="Comma 2 2 2" xfId="30"/>
    <cellStyle name="Comma 2 3" xfId="29"/>
    <cellStyle name="Comma 3" xfId="4"/>
    <cellStyle name="Comma 3 2" xfId="5"/>
    <cellStyle name="Comma 3 2 2" xfId="32"/>
    <cellStyle name="Comma 3 3" xfId="31"/>
    <cellStyle name="Comma 4" xfId="6"/>
    <cellStyle name="Comma 4 2" xfId="33"/>
    <cellStyle name="Comma 5" xfId="7"/>
    <cellStyle name="Comma 5 2" xfId="34"/>
    <cellStyle name="Currency" xfId="8" builtinId="4"/>
    <cellStyle name="Currency 2" xfId="9"/>
    <cellStyle name="Currency 2 2" xfId="10"/>
    <cellStyle name="Currency 2 2 2" xfId="36"/>
    <cellStyle name="Currency 2 3" xfId="35"/>
    <cellStyle name="Currency 3" xfId="11"/>
    <cellStyle name="Currency 3 2" xfId="12"/>
    <cellStyle name="Currency 3 2 2" xfId="38"/>
    <cellStyle name="Currency 3 3" xfId="37"/>
    <cellStyle name="Currency 4" xfId="13"/>
    <cellStyle name="Currency 4 2" xfId="39"/>
    <cellStyle name="Currency 5" xfId="14"/>
    <cellStyle name="Currency 5 2" xfId="40"/>
    <cellStyle name="Currency 6" xfId="15"/>
    <cellStyle name="Normal" xfId="0" builtinId="0"/>
    <cellStyle name="Normal 2" xfId="16"/>
    <cellStyle name="Normal 2 2" xfId="17"/>
    <cellStyle name="Normal 2 2 2" xfId="42"/>
    <cellStyle name="Normal 2 3" xfId="41"/>
    <cellStyle name="Normal 3" xfId="18"/>
    <cellStyle name="Normal 3 2" xfId="43"/>
    <cellStyle name="Normal 4" xfId="28"/>
    <cellStyle name="Normal 5" xfId="19"/>
    <cellStyle name="Percent" xfId="20" builtinId="5"/>
    <cellStyle name="Percent 2" xfId="21"/>
    <cellStyle name="Percent 2 2" xfId="22"/>
    <cellStyle name="Percent 2 2 2" xfId="45"/>
    <cellStyle name="Percent 2 3" xfId="44"/>
    <cellStyle name="Percent 3" xfId="23"/>
    <cellStyle name="Percent 3 2" xfId="24"/>
    <cellStyle name="Percent 3 2 2" xfId="47"/>
    <cellStyle name="Percent 3 3" xfId="46"/>
    <cellStyle name="Percent 4" xfId="25"/>
    <cellStyle name="Percent 4 2" xfId="48"/>
    <cellStyle name="Percent 5" xfId="26"/>
    <cellStyle name="Percent 5 2" xfId="49"/>
    <cellStyle name="Percent 6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2"/>
  <sheetViews>
    <sheetView tabSelected="1" zoomScaleNormal="100" workbookViewId="0">
      <selection activeCell="F9" sqref="F9"/>
    </sheetView>
  </sheetViews>
  <sheetFormatPr defaultRowHeight="12.75" x14ac:dyDescent="0.2"/>
  <cols>
    <col min="1" max="1" width="3" style="1" customWidth="1"/>
    <col min="2" max="2" width="41.5703125" style="1" customWidth="1"/>
    <col min="3" max="3" width="12.7109375" style="1" customWidth="1"/>
    <col min="4" max="4" width="16" style="1" customWidth="1"/>
    <col min="5" max="5" width="4.7109375" style="1" customWidth="1"/>
    <col min="6" max="7" width="12.7109375" style="1" customWidth="1"/>
    <col min="8" max="16384" width="9.140625" style="1"/>
  </cols>
  <sheetData>
    <row r="1" spans="1:5" x14ac:dyDescent="0.2">
      <c r="A1" s="50" t="str">
        <f>'PS INPUTS'!C113</f>
        <v>Combined USF/Lifeline calculation of rates as of 10/1/18</v>
      </c>
    </row>
    <row r="2" spans="1:5" x14ac:dyDescent="0.2">
      <c r="B2" s="125"/>
    </row>
    <row r="3" spans="1:5" x14ac:dyDescent="0.2">
      <c r="C3" s="126" t="s">
        <v>3</v>
      </c>
      <c r="D3" s="126" t="s">
        <v>4</v>
      </c>
      <c r="E3" s="126"/>
    </row>
    <row r="5" spans="1:5" x14ac:dyDescent="0.2">
      <c r="A5" s="50" t="s">
        <v>59</v>
      </c>
      <c r="B5" s="125"/>
    </row>
    <row r="6" spans="1:5" x14ac:dyDescent="0.2">
      <c r="B6" s="125" t="s">
        <v>68</v>
      </c>
      <c r="C6" s="80">
        <f>'USF Rate Calc'!D29</f>
        <v>3.8E-3</v>
      </c>
      <c r="D6" s="81">
        <f>'USF Rate Calc'!E29</f>
        <v>1.4829999999999999E-3</v>
      </c>
    </row>
    <row r="7" spans="1:5" x14ac:dyDescent="0.2">
      <c r="B7" s="125" t="s">
        <v>69</v>
      </c>
      <c r="C7" s="77">
        <f>'Lifeline rate'!D16</f>
        <v>4.8999999999999998E-3</v>
      </c>
      <c r="D7" s="78">
        <f>'Lifeline rate'!E16</f>
        <v>7.7499999999999997E-4</v>
      </c>
    </row>
    <row r="8" spans="1:5" x14ac:dyDescent="0.2">
      <c r="B8" s="125"/>
    </row>
    <row r="9" spans="1:5" x14ac:dyDescent="0.2">
      <c r="B9" s="125" t="s">
        <v>111</v>
      </c>
      <c r="C9" s="80">
        <f>C6+C7</f>
        <v>8.6999999999999994E-3</v>
      </c>
      <c r="D9" s="81">
        <f>D6+D7</f>
        <v>2.258E-3</v>
      </c>
    </row>
    <row r="10" spans="1:5" x14ac:dyDescent="0.2">
      <c r="B10" s="125"/>
    </row>
    <row r="11" spans="1:5" x14ac:dyDescent="0.2">
      <c r="B11" s="125" t="s">
        <v>70</v>
      </c>
      <c r="C11" s="80">
        <f>'USF Rate Calc'!D28</f>
        <v>4.8999999999999998E-3</v>
      </c>
      <c r="D11" s="81">
        <f>'USF Rate Calc'!E28</f>
        <v>1.256E-3</v>
      </c>
    </row>
    <row r="12" spans="1:5" x14ac:dyDescent="0.2">
      <c r="B12" s="125" t="s">
        <v>71</v>
      </c>
      <c r="C12" s="77">
        <f>'Lifeline rate'!D15</f>
        <v>5.4000000000000003E-3</v>
      </c>
      <c r="D12" s="78">
        <f>'Lifeline rate'!E15</f>
        <v>7.5299999999999998E-4</v>
      </c>
      <c r="E12" s="16"/>
    </row>
    <row r="13" spans="1:5" x14ac:dyDescent="0.2">
      <c r="B13" s="125"/>
      <c r="C13" s="77"/>
      <c r="D13" s="78"/>
    </row>
    <row r="14" spans="1:5" x14ac:dyDescent="0.2">
      <c r="B14" s="125" t="s">
        <v>112</v>
      </c>
      <c r="C14" s="80">
        <f>C11+C12</f>
        <v>1.03E-2</v>
      </c>
      <c r="D14" s="81">
        <f>D11+D12</f>
        <v>2.0089999999999999E-3</v>
      </c>
      <c r="E14" s="16"/>
    </row>
    <row r="15" spans="1:5" x14ac:dyDescent="0.2">
      <c r="B15" s="125"/>
      <c r="C15" s="80"/>
      <c r="D15" s="81"/>
    </row>
    <row r="16" spans="1:5" x14ac:dyDescent="0.2">
      <c r="B16" s="127" t="s">
        <v>113</v>
      </c>
      <c r="C16" s="128">
        <f>+C14-C9</f>
        <v>1.6000000000000007E-3</v>
      </c>
      <c r="D16" s="129">
        <f>+D14-D9</f>
        <v>-2.4900000000000009E-4</v>
      </c>
      <c r="E16" s="16"/>
    </row>
    <row r="17" spans="2:13" x14ac:dyDescent="0.2">
      <c r="C17" s="98"/>
      <c r="D17" s="98"/>
    </row>
    <row r="19" spans="2:13" ht="27.75" customHeight="1" x14ac:dyDescent="0.2">
      <c r="B19" s="479"/>
      <c r="C19" s="479"/>
      <c r="D19" s="479"/>
      <c r="E19" s="479"/>
      <c r="F19" s="16"/>
      <c r="G19" s="16"/>
      <c r="H19" s="16"/>
      <c r="I19" s="16"/>
      <c r="J19" s="16"/>
      <c r="K19" s="16"/>
      <c r="L19" s="16"/>
      <c r="M19" s="16"/>
    </row>
    <row r="20" spans="2:13" ht="30" customHeight="1" x14ac:dyDescent="0.2">
      <c r="B20" s="480"/>
      <c r="C20" s="480"/>
      <c r="D20" s="480"/>
      <c r="E20" s="480"/>
      <c r="F20" s="16"/>
      <c r="G20" s="16"/>
      <c r="H20" s="16"/>
      <c r="I20" s="16"/>
      <c r="J20" s="16"/>
      <c r="K20" s="16"/>
      <c r="L20" s="16"/>
      <c r="M20" s="16"/>
    </row>
    <row r="21" spans="2:13" ht="50.25" customHeight="1" x14ac:dyDescent="0.2">
      <c r="B21" s="481"/>
      <c r="C21" s="481"/>
      <c r="D21" s="481"/>
      <c r="E21" s="16"/>
      <c r="F21" s="16"/>
      <c r="G21" s="16"/>
      <c r="H21" s="16"/>
      <c r="I21" s="16"/>
      <c r="J21" s="16"/>
      <c r="K21" s="16"/>
      <c r="L21" s="16"/>
      <c r="M21" s="16"/>
    </row>
    <row r="22" spans="2:13" x14ac:dyDescent="0.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</sheetData>
  <mergeCells count="3">
    <mergeCell ref="B19:E19"/>
    <mergeCell ref="B20:E20"/>
    <mergeCell ref="B21:D21"/>
  </mergeCells>
  <phoneticPr fontId="0" type="noConversion"/>
  <printOptions horizontalCentered="1"/>
  <pageMargins left="0.5" right="0.5" top="1" bottom="1" header="0.4" footer="0.5"/>
  <pageSetup paperSize="5" scale="93" orientation="landscape" r:id="rId1"/>
  <headerFooter alignWithMargins="0">
    <oddHeader xml:space="preserve">&amp;R
</oddHeader>
    <oddFooter>&amp;R&amp;"Arial,Bold"&amp;11&amp;F
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2:BC142"/>
  <sheetViews>
    <sheetView zoomScaleNormal="100" workbookViewId="0">
      <pane xSplit="2" ySplit="6" topLeftCell="C7" activePane="bottomRight" state="frozen"/>
      <selection activeCell="C30" sqref="C29:C30"/>
      <selection pane="topRight" activeCell="C30" sqref="C29:C30"/>
      <selection pane="bottomLeft" activeCell="C30" sqref="C29:C30"/>
      <selection pane="bottomRight" activeCell="J35" sqref="J35"/>
    </sheetView>
  </sheetViews>
  <sheetFormatPr defaultRowHeight="12.75" x14ac:dyDescent="0.2"/>
  <cols>
    <col min="1" max="1" width="9.140625" style="1"/>
    <col min="2" max="2" width="15.7109375" style="1" customWidth="1"/>
    <col min="3" max="3" width="10.7109375" style="1" customWidth="1"/>
    <col min="4" max="4" width="10" style="1" customWidth="1"/>
    <col min="5" max="5" width="10.28515625" style="1" customWidth="1"/>
    <col min="6" max="6" width="12.140625" style="1" customWidth="1"/>
    <col min="7" max="7" width="10.42578125" style="1" customWidth="1"/>
    <col min="8" max="8" width="10.7109375" style="1" customWidth="1"/>
    <col min="9" max="9" width="10.140625" style="1" customWidth="1"/>
    <col min="10" max="10" width="8.7109375" style="1" bestFit="1" customWidth="1"/>
    <col min="11" max="11" width="8.7109375" style="1" customWidth="1"/>
    <col min="12" max="13" width="8.7109375" style="1" bestFit="1" customWidth="1"/>
    <col min="14" max="15" width="11" style="1" customWidth="1"/>
    <col min="16" max="16" width="12.7109375" style="1" customWidth="1"/>
    <col min="17" max="16384" width="9.140625" style="1"/>
  </cols>
  <sheetData>
    <row r="2" spans="2:55" ht="15.75" x14ac:dyDescent="0.25">
      <c r="B2" s="95" t="s">
        <v>122</v>
      </c>
    </row>
    <row r="4" spans="2:55" x14ac:dyDescent="0.2">
      <c r="C4" s="4" t="str">
        <f>'PS INPUTS'!C3</f>
        <v>October</v>
      </c>
      <c r="D4" s="4" t="str">
        <f>'PS INPUTS'!D3</f>
        <v>November</v>
      </c>
      <c r="E4" s="4" t="str">
        <f>'PS INPUTS'!E3</f>
        <v>December</v>
      </c>
      <c r="F4" s="4" t="str">
        <f>'PS INPUTS'!F3</f>
        <v>January</v>
      </c>
      <c r="G4" s="4" t="str">
        <f>'PS INPUTS'!G3</f>
        <v>February</v>
      </c>
      <c r="H4" s="4" t="str">
        <f>'PS INPUTS'!H3</f>
        <v>March</v>
      </c>
      <c r="I4" s="4" t="str">
        <f>'PS INPUTS'!I3</f>
        <v xml:space="preserve">April </v>
      </c>
      <c r="J4" s="4" t="str">
        <f>'PS INPUTS'!J3</f>
        <v>May</v>
      </c>
      <c r="K4" s="4" t="str">
        <f>'PS INPUTS'!K3</f>
        <v>June</v>
      </c>
      <c r="L4" s="4" t="str">
        <f>'PS INPUTS'!L3</f>
        <v>July</v>
      </c>
      <c r="M4" s="4" t="str">
        <f>'PS INPUTS'!M3</f>
        <v>August</v>
      </c>
      <c r="N4" s="4" t="str">
        <f>'PS INPUTS'!N3</f>
        <v>September</v>
      </c>
      <c r="O4" s="7" t="s">
        <v>1</v>
      </c>
    </row>
    <row r="5" spans="2:55" x14ac:dyDescent="0.2">
      <c r="C5" s="4">
        <f>'PS INPUTS'!C4</f>
        <v>2017</v>
      </c>
      <c r="D5" s="4">
        <f>'PS INPUTS'!D4</f>
        <v>2017</v>
      </c>
      <c r="E5" s="4">
        <f>'PS INPUTS'!E4</f>
        <v>2017</v>
      </c>
      <c r="F5" s="4">
        <f>'PS INPUTS'!F4</f>
        <v>2018</v>
      </c>
      <c r="G5" s="4">
        <f>'PS INPUTS'!G4</f>
        <v>2018</v>
      </c>
      <c r="H5" s="4">
        <f>'PS INPUTS'!H4</f>
        <v>2018</v>
      </c>
      <c r="I5" s="4">
        <f>'PS INPUTS'!I4</f>
        <v>2018</v>
      </c>
      <c r="J5" s="4">
        <f>'PS INPUTS'!J4</f>
        <v>2018</v>
      </c>
      <c r="K5" s="4">
        <f>'PS INPUTS'!K4</f>
        <v>2018</v>
      </c>
      <c r="L5" s="4">
        <f>'PS INPUTS'!L4</f>
        <v>2018</v>
      </c>
      <c r="M5" s="4">
        <f>'PS INPUTS'!M4</f>
        <v>2018</v>
      </c>
      <c r="N5" s="4">
        <f>'PS INPUTS'!N4</f>
        <v>2018</v>
      </c>
      <c r="O5" s="7"/>
    </row>
    <row r="6" spans="2:55" x14ac:dyDescent="0.2">
      <c r="C6" s="4" t="str">
        <f>'PS INPUTS'!C5</f>
        <v>actual</v>
      </c>
      <c r="D6" s="4" t="str">
        <f>'PS INPUTS'!D5</f>
        <v>actual</v>
      </c>
      <c r="E6" s="4" t="str">
        <f>'PS INPUTS'!E5</f>
        <v>actual</v>
      </c>
      <c r="F6" s="4" t="str">
        <f>'PS INPUTS'!F5</f>
        <v>actual</v>
      </c>
      <c r="G6" s="4" t="str">
        <f>'PS INPUTS'!G5</f>
        <v>actual</v>
      </c>
      <c r="H6" s="4" t="str">
        <f>'PS INPUTS'!H5</f>
        <v>actual</v>
      </c>
      <c r="I6" s="4" t="str">
        <f>'PS INPUTS'!I5</f>
        <v>actual</v>
      </c>
      <c r="J6" s="4" t="str">
        <f>'PS INPUTS'!J5</f>
        <v>estimate</v>
      </c>
      <c r="K6" s="4" t="str">
        <f>'PS INPUTS'!K5</f>
        <v>estimate</v>
      </c>
      <c r="L6" s="4" t="str">
        <f>'PS INPUTS'!L5</f>
        <v>estimate</v>
      </c>
      <c r="M6" s="4" t="str">
        <f>'PS INPUTS'!M5</f>
        <v>estimate</v>
      </c>
      <c r="N6" s="4" t="str">
        <f>'PS INPUTS'!N5</f>
        <v>estimate</v>
      </c>
      <c r="O6" s="7"/>
    </row>
    <row r="7" spans="2:55" x14ac:dyDescent="0.2">
      <c r="C7" s="4"/>
      <c r="D7" s="4"/>
      <c r="E7" s="4"/>
      <c r="F7" s="4"/>
      <c r="G7" s="4"/>
      <c r="H7" s="4"/>
      <c r="I7" s="4"/>
      <c r="J7" s="4"/>
      <c r="K7" s="4"/>
      <c r="L7" s="4"/>
    </row>
    <row r="8" spans="2:55" x14ac:dyDescent="0.2">
      <c r="B8" s="15" t="s">
        <v>85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f>SUM(C8:N8)</f>
        <v>0</v>
      </c>
      <c r="P8" s="3"/>
      <c r="Q8" s="32"/>
      <c r="R8" s="32"/>
      <c r="S8" s="32"/>
      <c r="T8" s="32"/>
      <c r="U8" s="32"/>
      <c r="V8" s="32"/>
      <c r="W8" s="32"/>
      <c r="X8" s="22"/>
      <c r="Y8" s="22"/>
      <c r="Z8" s="22"/>
      <c r="AA8" s="22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2:55" x14ac:dyDescent="0.2">
      <c r="B9" s="15" t="s">
        <v>88</v>
      </c>
      <c r="C9" s="421">
        <v>0</v>
      </c>
      <c r="D9" s="421">
        <v>0</v>
      </c>
      <c r="E9" s="421">
        <v>0</v>
      </c>
      <c r="F9" s="421">
        <v>0</v>
      </c>
      <c r="G9" s="421">
        <v>0</v>
      </c>
      <c r="H9" s="421">
        <v>0</v>
      </c>
      <c r="I9" s="421">
        <v>0</v>
      </c>
      <c r="J9" s="421">
        <v>0</v>
      </c>
      <c r="K9" s="421">
        <v>0</v>
      </c>
      <c r="L9" s="421">
        <v>0</v>
      </c>
      <c r="M9" s="421">
        <v>0</v>
      </c>
      <c r="N9" s="421">
        <v>0</v>
      </c>
      <c r="O9" s="3">
        <f>SUM(C9:N9)</f>
        <v>0</v>
      </c>
      <c r="P9" s="39"/>
      <c r="Q9" s="37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3"/>
      <c r="AD9" s="2"/>
      <c r="AE9" s="2"/>
      <c r="AF9" s="2"/>
      <c r="AG9" s="2"/>
      <c r="AH9" s="2"/>
      <c r="AI9" s="2"/>
      <c r="AJ9" s="2"/>
      <c r="AK9" s="2"/>
      <c r="AL9" s="2"/>
    </row>
    <row r="10" spans="2:55" x14ac:dyDescent="0.2">
      <c r="B10" s="15" t="s">
        <v>46</v>
      </c>
      <c r="C10" s="35">
        <f>'PS INPUTS'!C26</f>
        <v>0</v>
      </c>
      <c r="D10" s="35">
        <f>'PS INPUTS'!D26</f>
        <v>0</v>
      </c>
      <c r="E10" s="35">
        <f>'PS INPUTS'!E26</f>
        <v>0</v>
      </c>
      <c r="F10" s="35">
        <f>'PS INPUTS'!F26</f>
        <v>0</v>
      </c>
      <c r="G10" s="35">
        <f>'PS INPUTS'!G26</f>
        <v>0</v>
      </c>
      <c r="H10" s="35">
        <f>'PS INPUTS'!H26</f>
        <v>0</v>
      </c>
      <c r="I10" s="35">
        <f>'PS INPUTS'!I26</f>
        <v>0</v>
      </c>
      <c r="J10" s="35">
        <f>'PS INPUTS'!J26</f>
        <v>0</v>
      </c>
      <c r="K10" s="35">
        <f>'PS INPUTS'!K26</f>
        <v>0</v>
      </c>
      <c r="L10" s="35">
        <f>'PS INPUTS'!L26</f>
        <v>0</v>
      </c>
      <c r="M10" s="35">
        <f>'PS INPUTS'!M26</f>
        <v>0</v>
      </c>
      <c r="N10" s="35">
        <f>'PS INPUTS'!N26</f>
        <v>0</v>
      </c>
      <c r="O10" s="39">
        <f>SUM(C10:N10)</f>
        <v>0</v>
      </c>
      <c r="P10" s="39"/>
      <c r="Q10" s="37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3"/>
      <c r="AD10" s="2"/>
      <c r="AE10" s="2"/>
      <c r="AF10" s="2"/>
      <c r="AG10" s="2"/>
      <c r="AH10" s="2"/>
      <c r="AI10" s="2"/>
      <c r="AJ10" s="2"/>
      <c r="AK10" s="2"/>
      <c r="AL10" s="2"/>
    </row>
    <row r="11" spans="2:55" x14ac:dyDescent="0.2">
      <c r="B11" s="15" t="s">
        <v>8</v>
      </c>
      <c r="C11" s="424">
        <v>0</v>
      </c>
      <c r="D11" s="424">
        <v>176.64</v>
      </c>
      <c r="E11" s="424">
        <v>21.62</v>
      </c>
      <c r="F11" s="424">
        <v>0</v>
      </c>
      <c r="G11" s="424">
        <v>18.399999999999999</v>
      </c>
      <c r="H11" s="424">
        <v>0</v>
      </c>
      <c r="I11" s="424">
        <v>-439</v>
      </c>
      <c r="J11" s="424">
        <v>0</v>
      </c>
      <c r="K11" s="424">
        <v>0</v>
      </c>
      <c r="L11" s="424">
        <v>0</v>
      </c>
      <c r="M11" s="424">
        <v>0</v>
      </c>
      <c r="N11" s="424">
        <v>0</v>
      </c>
      <c r="O11" s="39">
        <f>SUM(C11:N11)</f>
        <v>-222.34</v>
      </c>
      <c r="P11" s="39"/>
      <c r="Q11" s="39"/>
      <c r="R11" s="3"/>
      <c r="S11" s="3"/>
      <c r="T11" s="3"/>
      <c r="U11" s="3"/>
      <c r="V11" s="3"/>
      <c r="W11" s="3"/>
      <c r="X11" s="3"/>
      <c r="Y11" s="3"/>
      <c r="Z11" s="5"/>
      <c r="AA11" s="5"/>
      <c r="AB11" s="5"/>
      <c r="AC11" s="3"/>
      <c r="AD11" s="2"/>
      <c r="AE11" s="2"/>
      <c r="AF11" s="2"/>
      <c r="AG11" s="2"/>
      <c r="AH11" s="2"/>
      <c r="AI11" s="2"/>
      <c r="AJ11" s="2"/>
      <c r="AK11" s="2"/>
      <c r="AL11" s="2"/>
    </row>
    <row r="12" spans="2:55" x14ac:dyDescent="0.2">
      <c r="B12" s="96" t="s">
        <v>47</v>
      </c>
      <c r="C12" s="39">
        <f>SUM(C8:C11)</f>
        <v>0</v>
      </c>
      <c r="D12" s="39">
        <f t="shared" ref="D12:N12" si="0">SUM(D8:D11)</f>
        <v>176.64</v>
      </c>
      <c r="E12" s="39">
        <f t="shared" si="0"/>
        <v>21.62</v>
      </c>
      <c r="F12" s="39">
        <f t="shared" si="0"/>
        <v>0</v>
      </c>
      <c r="G12" s="39">
        <f t="shared" si="0"/>
        <v>18.399999999999999</v>
      </c>
      <c r="H12" s="39">
        <f t="shared" si="0"/>
        <v>0</v>
      </c>
      <c r="I12" s="39">
        <f t="shared" si="0"/>
        <v>-439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>SUM(O8:O11)</f>
        <v>-222.34</v>
      </c>
      <c r="P12" s="39"/>
      <c r="Q12" s="37"/>
      <c r="R12" s="5"/>
      <c r="S12" s="5"/>
      <c r="T12" s="5"/>
      <c r="U12" s="5"/>
      <c r="V12" s="5"/>
      <c r="W12" s="5"/>
      <c r="X12" s="3"/>
      <c r="Y12" s="3"/>
      <c r="Z12" s="3"/>
      <c r="AA12" s="3"/>
      <c r="AB12" s="3"/>
      <c r="AC12" s="3"/>
      <c r="AD12" s="2"/>
      <c r="AE12" s="2"/>
      <c r="AF12" s="2"/>
      <c r="AG12" s="2"/>
      <c r="AH12" s="2"/>
      <c r="AI12" s="2"/>
      <c r="AJ12" s="2"/>
      <c r="AK12" s="2"/>
      <c r="AL12" s="2"/>
    </row>
    <row r="13" spans="2:55" x14ac:dyDescent="0.2">
      <c r="B13" s="96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7"/>
      <c r="R13" s="5"/>
      <c r="S13" s="5"/>
      <c r="T13" s="5"/>
      <c r="U13" s="5"/>
      <c r="V13" s="5"/>
      <c r="W13" s="5"/>
      <c r="X13" s="3"/>
      <c r="Y13" s="3"/>
      <c r="Z13" s="3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2:55" x14ac:dyDescent="0.2">
      <c r="B14" s="15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7"/>
      <c r="R14" s="5"/>
      <c r="S14" s="5"/>
      <c r="T14" s="5"/>
      <c r="U14" s="5"/>
      <c r="V14" s="5"/>
      <c r="W14" s="5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2:55" x14ac:dyDescent="0.2">
      <c r="B15" s="15" t="s">
        <v>87</v>
      </c>
      <c r="C15" s="396">
        <v>0</v>
      </c>
      <c r="D15" s="396">
        <v>0</v>
      </c>
      <c r="E15" s="396">
        <v>0</v>
      </c>
      <c r="F15" s="396">
        <v>0</v>
      </c>
      <c r="G15" s="396">
        <v>0</v>
      </c>
      <c r="H15" s="396">
        <v>0</v>
      </c>
      <c r="I15" s="396">
        <v>0</v>
      </c>
      <c r="J15" s="396">
        <v>0</v>
      </c>
      <c r="K15" s="396">
        <v>0</v>
      </c>
      <c r="L15" s="396">
        <v>0</v>
      </c>
      <c r="M15" s="396">
        <v>0</v>
      </c>
      <c r="N15" s="396">
        <v>0</v>
      </c>
      <c r="O15" s="39">
        <f>SUM(C15:N15)</f>
        <v>0</v>
      </c>
      <c r="P15" s="39"/>
      <c r="Q15" s="37"/>
      <c r="R15" s="5"/>
      <c r="S15" s="5"/>
      <c r="T15" s="5"/>
      <c r="U15" s="5"/>
      <c r="V15" s="5"/>
      <c r="W15" s="5"/>
      <c r="X15" s="3"/>
      <c r="Y15" s="3"/>
      <c r="Z15" s="3"/>
      <c r="AA15" s="3"/>
      <c r="AB15" s="3"/>
      <c r="AC15" s="3"/>
      <c r="AD15" s="2"/>
      <c r="AE15" s="2"/>
      <c r="AF15" s="2"/>
      <c r="AG15" s="2"/>
      <c r="AH15" s="2"/>
      <c r="AI15" s="2"/>
      <c r="AJ15" s="2"/>
      <c r="AK15" s="2"/>
      <c r="AL15" s="2"/>
    </row>
    <row r="16" spans="2:55" x14ac:dyDescent="0.2">
      <c r="B16" s="15" t="s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f>SUM(C16:N16)</f>
        <v>0</v>
      </c>
      <c r="P16" s="39"/>
      <c r="Q16" s="37"/>
      <c r="R16" s="5"/>
      <c r="S16" s="5"/>
      <c r="T16" s="5"/>
      <c r="U16" s="5"/>
      <c r="V16" s="5"/>
      <c r="W16" s="5"/>
      <c r="X16" s="5"/>
      <c r="Y16" s="5"/>
      <c r="Z16" s="5"/>
      <c r="AA16" s="3"/>
      <c r="AB16" s="3"/>
      <c r="AC16" s="3"/>
      <c r="AD16" s="2"/>
      <c r="AE16" s="2"/>
      <c r="AF16" s="2"/>
      <c r="AG16" s="2"/>
      <c r="AH16" s="2"/>
      <c r="AI16" s="2"/>
      <c r="AJ16" s="2"/>
      <c r="AK16" s="2"/>
      <c r="AL16" s="2"/>
    </row>
    <row r="17" spans="2:38" x14ac:dyDescent="0.2">
      <c r="B17" s="15" t="s">
        <v>48</v>
      </c>
      <c r="C17" s="423">
        <f>'PS INPUTS'!C27</f>
        <v>0</v>
      </c>
      <c r="D17" s="423">
        <f>'PS INPUTS'!D27</f>
        <v>0</v>
      </c>
      <c r="E17" s="423">
        <f>'PS INPUTS'!E27</f>
        <v>0</v>
      </c>
      <c r="F17" s="423">
        <f>'PS INPUTS'!F27</f>
        <v>0</v>
      </c>
      <c r="G17" s="423">
        <f>'PS INPUTS'!G27</f>
        <v>0</v>
      </c>
      <c r="H17" s="423">
        <f>'PS INPUTS'!H27</f>
        <v>0</v>
      </c>
      <c r="I17" s="423">
        <f>'PS INPUTS'!I27</f>
        <v>0</v>
      </c>
      <c r="J17" s="423">
        <f>'PS INPUTS'!J27</f>
        <v>0</v>
      </c>
      <c r="K17" s="423">
        <f>'PS INPUTS'!K27</f>
        <v>0</v>
      </c>
      <c r="L17" s="423">
        <f>'PS INPUTS'!L27</f>
        <v>0</v>
      </c>
      <c r="M17" s="423">
        <f>'PS INPUTS'!M27</f>
        <v>0</v>
      </c>
      <c r="N17" s="423">
        <f>'PS INPUTS'!N27</f>
        <v>0</v>
      </c>
      <c r="O17" s="39">
        <f>SUM(C17:N17)</f>
        <v>0</v>
      </c>
      <c r="P17" s="39"/>
      <c r="Q17" s="37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3"/>
      <c r="AD17" s="2"/>
      <c r="AE17" s="2"/>
      <c r="AF17" s="2"/>
      <c r="AG17" s="2"/>
      <c r="AH17" s="2"/>
      <c r="AI17" s="2"/>
      <c r="AJ17" s="2"/>
      <c r="AK17" s="2"/>
      <c r="AL17" s="2"/>
    </row>
    <row r="18" spans="2:38" x14ac:dyDescent="0.2">
      <c r="B18" s="15" t="s">
        <v>7</v>
      </c>
      <c r="C18" s="423">
        <v>0</v>
      </c>
      <c r="D18" s="423">
        <v>0</v>
      </c>
      <c r="E18" s="423">
        <v>344.81</v>
      </c>
      <c r="F18" s="423">
        <v>0</v>
      </c>
      <c r="G18" s="423">
        <v>0</v>
      </c>
      <c r="H18" s="423">
        <v>502.58</v>
      </c>
      <c r="I18" s="423">
        <v>0</v>
      </c>
      <c r="J18" s="423">
        <v>0</v>
      </c>
      <c r="K18" s="423">
        <v>611.66999999999996</v>
      </c>
      <c r="L18" s="423">
        <v>0</v>
      </c>
      <c r="M18" s="423">
        <v>0</v>
      </c>
      <c r="N18" s="423">
        <v>327.44</v>
      </c>
      <c r="O18" s="39">
        <f t="shared" ref="O18:O19" si="1">SUM(C18:N18)</f>
        <v>1786.5</v>
      </c>
      <c r="P18" s="3"/>
      <c r="R18" s="5"/>
      <c r="S18" s="5"/>
      <c r="T18" s="5"/>
      <c r="U18" s="5"/>
      <c r="V18" s="5"/>
      <c r="W18" s="5"/>
      <c r="X18" s="3"/>
      <c r="Y18" s="3"/>
      <c r="Z18" s="3"/>
      <c r="AA18" s="3"/>
      <c r="AB18" s="3"/>
      <c r="AC18" s="3"/>
      <c r="AD18" s="2"/>
      <c r="AE18" s="2"/>
      <c r="AF18" s="2"/>
      <c r="AG18" s="2"/>
      <c r="AH18" s="2"/>
      <c r="AI18" s="2"/>
      <c r="AJ18" s="2"/>
      <c r="AK18" s="2"/>
      <c r="AL18" s="2"/>
    </row>
    <row r="19" spans="2:38" x14ac:dyDescent="0.2">
      <c r="B19" s="96" t="s">
        <v>47</v>
      </c>
      <c r="C19" s="39">
        <f>SUM(C15:C18)</f>
        <v>0</v>
      </c>
      <c r="D19" s="39">
        <f t="shared" ref="D19:N19" si="2">SUM(D15:D18)</f>
        <v>0</v>
      </c>
      <c r="E19" s="39">
        <f t="shared" si="2"/>
        <v>344.81</v>
      </c>
      <c r="F19" s="39">
        <f t="shared" si="2"/>
        <v>0</v>
      </c>
      <c r="G19" s="39">
        <f t="shared" si="2"/>
        <v>0</v>
      </c>
      <c r="H19" s="39">
        <f t="shared" si="2"/>
        <v>502.58</v>
      </c>
      <c r="I19" s="39">
        <f t="shared" si="2"/>
        <v>0</v>
      </c>
      <c r="J19" s="39">
        <f t="shared" si="2"/>
        <v>0</v>
      </c>
      <c r="K19" s="39">
        <f t="shared" si="2"/>
        <v>611.66999999999996</v>
      </c>
      <c r="L19" s="39">
        <f t="shared" si="2"/>
        <v>0</v>
      </c>
      <c r="M19" s="39">
        <f t="shared" si="2"/>
        <v>0</v>
      </c>
      <c r="N19" s="39">
        <f t="shared" si="2"/>
        <v>327.44</v>
      </c>
      <c r="O19" s="39">
        <f t="shared" si="1"/>
        <v>1786.5</v>
      </c>
      <c r="P19" s="59"/>
      <c r="Q19" s="60"/>
      <c r="R19" s="5"/>
      <c r="S19" s="5"/>
      <c r="T19" s="5"/>
      <c r="U19" s="5"/>
      <c r="V19" s="5"/>
      <c r="W19" s="5"/>
      <c r="X19" s="3"/>
      <c r="Y19" s="3"/>
      <c r="Z19" s="3"/>
      <c r="AA19" s="3"/>
      <c r="AB19" s="3"/>
      <c r="AC19" s="3"/>
      <c r="AD19" s="2"/>
      <c r="AE19" s="2"/>
      <c r="AF19" s="2"/>
      <c r="AG19" s="2"/>
      <c r="AH19" s="2"/>
      <c r="AI19" s="2"/>
      <c r="AJ19" s="2"/>
      <c r="AK19" s="2"/>
      <c r="AL19" s="2"/>
    </row>
    <row r="20" spans="2:38" x14ac:dyDescent="0.2">
      <c r="B20" s="15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0"/>
      <c r="R20" s="5"/>
      <c r="S20" s="5"/>
      <c r="T20" s="5"/>
      <c r="U20" s="5"/>
      <c r="V20" s="5"/>
      <c r="W20" s="5"/>
      <c r="X20" s="5"/>
      <c r="Y20" s="5"/>
      <c r="Z20" s="5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2:38" x14ac:dyDescent="0.2">
      <c r="B21" s="15" t="s">
        <v>49</v>
      </c>
      <c r="C21" s="59">
        <f t="shared" ref="C21:K21" si="3">C12+C19</f>
        <v>0</v>
      </c>
      <c r="D21" s="59">
        <f t="shared" si="3"/>
        <v>176.64</v>
      </c>
      <c r="E21" s="59">
        <f t="shared" si="3"/>
        <v>366.43</v>
      </c>
      <c r="F21" s="59">
        <f t="shared" si="3"/>
        <v>0</v>
      </c>
      <c r="G21" s="59">
        <f t="shared" si="3"/>
        <v>18.399999999999999</v>
      </c>
      <c r="H21" s="59">
        <f t="shared" si="3"/>
        <v>502.58</v>
      </c>
      <c r="I21" s="59">
        <f t="shared" si="3"/>
        <v>-439</v>
      </c>
      <c r="J21" s="59">
        <f t="shared" si="3"/>
        <v>0</v>
      </c>
      <c r="K21" s="59">
        <f t="shared" si="3"/>
        <v>611.66999999999996</v>
      </c>
      <c r="L21" s="59">
        <f>L12+L19</f>
        <v>0</v>
      </c>
      <c r="M21" s="59">
        <f>M12+M19</f>
        <v>0</v>
      </c>
      <c r="N21" s="59">
        <f>N12+N19</f>
        <v>327.44</v>
      </c>
      <c r="O21" s="59">
        <f>O12+O19</f>
        <v>1564.16</v>
      </c>
      <c r="P21" s="59"/>
      <c r="Q21" s="60"/>
      <c r="R21" s="5"/>
      <c r="S21" s="5"/>
      <c r="T21" s="5"/>
      <c r="U21" s="5"/>
      <c r="V21" s="5"/>
      <c r="W21" s="5"/>
      <c r="X21" s="3"/>
      <c r="Y21" s="3"/>
      <c r="Z21" s="3"/>
      <c r="AA21" s="3"/>
      <c r="AB21" s="3"/>
      <c r="AC21" s="3"/>
      <c r="AD21" s="2"/>
      <c r="AE21" s="2"/>
      <c r="AF21" s="2"/>
      <c r="AG21" s="2"/>
      <c r="AH21" s="2"/>
      <c r="AI21" s="2"/>
      <c r="AJ21" s="2"/>
      <c r="AK21" s="2"/>
      <c r="AL21" s="2"/>
    </row>
    <row r="22" spans="2:38" x14ac:dyDescent="0.2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5"/>
      <c r="R22" s="5"/>
      <c r="S22" s="5"/>
      <c r="T22" s="5"/>
      <c r="U22" s="5"/>
      <c r="V22" s="5"/>
      <c r="W22" s="5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2:38" x14ac:dyDescent="0.2">
      <c r="B23" s="15"/>
      <c r="C23" s="3"/>
      <c r="D23" s="3"/>
      <c r="E23" s="3"/>
      <c r="F23" s="3"/>
      <c r="G23" s="3"/>
      <c r="H23" s="3"/>
      <c r="I23" s="3"/>
      <c r="J23" s="162"/>
      <c r="K23" s="162"/>
      <c r="L23" s="3"/>
      <c r="M23" s="3"/>
      <c r="N23" s="3"/>
      <c r="O23" s="3"/>
      <c r="P23" s="3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2:38" ht="15.75" x14ac:dyDescent="0.25">
      <c r="B24" s="95" t="str">
        <f>'PS INPUTS'!C29</f>
        <v>ADMINISTRATIVE COSTS-August through September 2017 (Prior USF Year)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6" spans="2:38" x14ac:dyDescent="0.2">
      <c r="C26" s="4" t="str">
        <f>'PS INPUTS'!C30</f>
        <v>July</v>
      </c>
      <c r="D26" s="4" t="str">
        <f>'PS INPUTS'!D30</f>
        <v>August</v>
      </c>
      <c r="E26" s="4" t="str">
        <f>'PS INPUTS'!E30</f>
        <v>September</v>
      </c>
      <c r="F26" s="4" t="s">
        <v>1</v>
      </c>
      <c r="G26" s="4"/>
      <c r="H26" s="4"/>
      <c r="I26" s="4"/>
      <c r="J26" s="4"/>
      <c r="K26" s="4"/>
      <c r="L26" s="4"/>
      <c r="P26" s="107"/>
      <c r="Q26" s="107"/>
    </row>
    <row r="27" spans="2:38" x14ac:dyDescent="0.2">
      <c r="C27" s="4">
        <f>'PS INPUTS'!C31</f>
        <v>2017</v>
      </c>
      <c r="D27" s="4">
        <f>'PS INPUTS'!D31</f>
        <v>2017</v>
      </c>
      <c r="E27" s="4">
        <f>'PS INPUTS'!E31</f>
        <v>2017</v>
      </c>
      <c r="F27" s="4"/>
      <c r="G27" s="4"/>
      <c r="H27" s="4"/>
      <c r="I27" s="4"/>
      <c r="J27" s="4"/>
      <c r="K27" s="4"/>
      <c r="L27" s="4"/>
      <c r="P27" s="107"/>
      <c r="Q27" s="107"/>
    </row>
    <row r="28" spans="2:38" x14ac:dyDescent="0.2">
      <c r="C28" s="4" t="str">
        <f>'PS INPUTS'!C32</f>
        <v>actual</v>
      </c>
      <c r="D28" s="4" t="str">
        <f>'PS INPUTS'!D32</f>
        <v>actual</v>
      </c>
      <c r="E28" s="4" t="str">
        <f>'PS INPUTS'!E32</f>
        <v>actual</v>
      </c>
      <c r="F28" s="4"/>
      <c r="G28" s="4"/>
      <c r="H28" s="4"/>
      <c r="I28" s="4"/>
      <c r="J28" s="4"/>
      <c r="K28" s="4"/>
      <c r="L28" s="4"/>
      <c r="P28" s="107"/>
      <c r="Q28" s="107"/>
    </row>
    <row r="29" spans="2:38" x14ac:dyDescent="0.2">
      <c r="F29" s="4"/>
      <c r="G29" s="4"/>
      <c r="H29" s="4"/>
      <c r="I29" s="4"/>
      <c r="J29" s="4"/>
      <c r="K29" s="4"/>
      <c r="L29" s="4"/>
    </row>
    <row r="30" spans="2:38" x14ac:dyDescent="0.2">
      <c r="B30" s="15" t="s">
        <v>8</v>
      </c>
      <c r="C30" s="420">
        <v>20.239999999999998</v>
      </c>
      <c r="D30" s="420">
        <v>27.14</v>
      </c>
      <c r="E30" s="420">
        <v>33.58</v>
      </c>
      <c r="F30" s="3">
        <f>SUM(C30:E30)</f>
        <v>80.959999999999994</v>
      </c>
      <c r="G30" s="3"/>
      <c r="H30" s="3"/>
      <c r="I30" s="3"/>
      <c r="J30" s="3"/>
      <c r="K30" s="3"/>
      <c r="L30" s="3"/>
      <c r="P30" s="108"/>
      <c r="Q30" s="108"/>
    </row>
    <row r="31" spans="2:38" x14ac:dyDescent="0.2">
      <c r="B31" s="96"/>
      <c r="C31" s="108"/>
      <c r="D31" s="108"/>
      <c r="E31" s="108"/>
      <c r="F31" s="3"/>
      <c r="G31" s="3"/>
      <c r="H31" s="86"/>
      <c r="I31" s="86"/>
      <c r="J31" s="86"/>
      <c r="K31" s="86"/>
      <c r="L31" s="86"/>
      <c r="P31" s="108"/>
      <c r="Q31" s="108"/>
    </row>
    <row r="32" spans="2:38" x14ac:dyDescent="0.2">
      <c r="B32" s="15"/>
      <c r="C32" s="104"/>
      <c r="D32" s="104"/>
      <c r="E32" s="104"/>
      <c r="F32" s="3"/>
      <c r="G32" s="3"/>
      <c r="H32" s="104"/>
      <c r="I32" s="104"/>
      <c r="J32" s="104"/>
      <c r="K32" s="104"/>
      <c r="L32" s="104"/>
      <c r="P32" s="108"/>
      <c r="Q32" s="108"/>
    </row>
    <row r="33" spans="2:17" x14ac:dyDescent="0.2">
      <c r="B33" s="15" t="s">
        <v>7</v>
      </c>
      <c r="C33" s="39">
        <v>0</v>
      </c>
      <c r="D33" s="39">
        <v>0</v>
      </c>
      <c r="E33" s="39">
        <v>327.44</v>
      </c>
      <c r="F33" s="3">
        <f>SUM(C33:E33)</f>
        <v>327.44</v>
      </c>
      <c r="G33" s="3"/>
      <c r="H33" s="104"/>
      <c r="I33" s="104"/>
      <c r="J33" s="104"/>
      <c r="K33" s="104"/>
      <c r="L33" s="104"/>
      <c r="P33" s="108"/>
      <c r="Q33" s="108"/>
    </row>
    <row r="34" spans="2:17" x14ac:dyDescent="0.2">
      <c r="B34" s="96"/>
      <c r="C34" s="108"/>
      <c r="D34" s="108"/>
      <c r="E34" s="108"/>
      <c r="F34" s="3"/>
      <c r="G34" s="3"/>
      <c r="H34" s="108"/>
      <c r="I34" s="108"/>
      <c r="J34" s="108"/>
      <c r="K34" s="108"/>
      <c r="L34" s="108"/>
      <c r="P34" s="108"/>
      <c r="Q34" s="108"/>
    </row>
    <row r="35" spans="2:17" x14ac:dyDescent="0.2">
      <c r="B35" s="15"/>
      <c r="C35" s="22"/>
      <c r="D35" s="22"/>
      <c r="E35" s="22"/>
      <c r="F35" s="3"/>
      <c r="G35" s="108"/>
      <c r="H35" s="108"/>
      <c r="I35" s="108"/>
      <c r="J35" s="108"/>
      <c r="K35" s="108"/>
      <c r="L35" s="108"/>
      <c r="P35" s="108"/>
      <c r="Q35" s="108"/>
    </row>
    <row r="36" spans="2:17" x14ac:dyDescent="0.2">
      <c r="B36" s="15" t="s">
        <v>49</v>
      </c>
      <c r="C36" s="22">
        <f>C30+C33</f>
        <v>20.239999999999998</v>
      </c>
      <c r="D36" s="22">
        <f t="shared" ref="D36:F36" si="4">D30+D33</f>
        <v>27.14</v>
      </c>
      <c r="E36" s="22">
        <f t="shared" si="4"/>
        <v>361.02</v>
      </c>
      <c r="F36" s="22">
        <f t="shared" si="4"/>
        <v>408.4</v>
      </c>
      <c r="G36" s="22"/>
      <c r="H36" s="108"/>
      <c r="I36" s="108"/>
      <c r="J36" s="108"/>
      <c r="K36" s="108"/>
      <c r="L36" s="108"/>
      <c r="P36" s="108"/>
      <c r="Q36" s="108"/>
    </row>
    <row r="37" spans="2:17" x14ac:dyDescent="0.2">
      <c r="G37" s="3"/>
      <c r="H37" s="108"/>
      <c r="I37" s="108"/>
      <c r="J37" s="108"/>
      <c r="K37" s="108"/>
      <c r="L37" s="106"/>
      <c r="P37" s="108"/>
      <c r="Q37" s="108"/>
    </row>
    <row r="38" spans="2:17" x14ac:dyDescent="0.2">
      <c r="B38" s="15"/>
      <c r="C38" s="420"/>
      <c r="D38" s="420"/>
      <c r="E38" s="420"/>
      <c r="F38" s="3"/>
      <c r="G38" s="3"/>
      <c r="H38" s="109"/>
      <c r="I38" s="109"/>
      <c r="J38" s="109"/>
      <c r="K38" s="110"/>
      <c r="L38" s="111"/>
      <c r="P38" s="108"/>
      <c r="Q38" s="108"/>
    </row>
    <row r="39" spans="2:17" x14ac:dyDescent="0.2">
      <c r="B39" s="15"/>
      <c r="C39" s="106"/>
      <c r="D39" s="106"/>
      <c r="E39" s="106"/>
      <c r="F39" s="3"/>
      <c r="G39" s="3"/>
      <c r="H39" s="106"/>
      <c r="I39" s="106"/>
      <c r="J39" s="106"/>
      <c r="K39" s="106"/>
      <c r="L39" s="106"/>
      <c r="P39" s="108"/>
      <c r="Q39" s="108"/>
    </row>
    <row r="40" spans="2:17" x14ac:dyDescent="0.2">
      <c r="G40" s="3"/>
      <c r="H40" s="22"/>
      <c r="I40" s="22"/>
      <c r="J40" s="22"/>
      <c r="K40" s="22"/>
      <c r="L40" s="22"/>
      <c r="P40" s="108"/>
      <c r="Q40" s="108"/>
    </row>
    <row r="41" spans="2:17" x14ac:dyDescent="0.2">
      <c r="G41" s="3"/>
      <c r="H41" s="108"/>
      <c r="I41" s="108"/>
      <c r="J41" s="108"/>
      <c r="K41" s="108"/>
      <c r="L41" s="108"/>
      <c r="P41" s="22"/>
      <c r="Q41" s="22"/>
    </row>
    <row r="42" spans="2:17" x14ac:dyDescent="0.2">
      <c r="G42" s="3"/>
      <c r="H42" s="22"/>
      <c r="I42" s="22"/>
      <c r="J42" s="22"/>
      <c r="K42" s="22"/>
      <c r="L42" s="22"/>
      <c r="P42" s="22"/>
      <c r="Q42" s="22"/>
    </row>
    <row r="43" spans="2:17" x14ac:dyDescent="0.2">
      <c r="G43" s="3"/>
      <c r="H43" s="22"/>
      <c r="I43" s="22"/>
      <c r="J43" s="22"/>
      <c r="K43" s="22"/>
      <c r="L43" s="22"/>
      <c r="P43" s="22"/>
      <c r="Q43" s="22"/>
    </row>
    <row r="142" spans="16:16" x14ac:dyDescent="0.2">
      <c r="P142" s="3"/>
    </row>
  </sheetData>
  <phoneticPr fontId="0" type="noConversion"/>
  <pageMargins left="0.5" right="0.25" top="1" bottom="0.5" header="0.4" footer="0.5"/>
  <pageSetup paperSize="5" scale="95" orientation="landscape" r:id="rId1"/>
  <headerFooter alignWithMargins="0">
    <oddFooter>&amp;R&amp;"Arial,Bold"&amp;11&amp;F
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2:H25"/>
  <sheetViews>
    <sheetView zoomScaleNormal="100" workbookViewId="0">
      <selection activeCell="B23" sqref="B23"/>
    </sheetView>
  </sheetViews>
  <sheetFormatPr defaultRowHeight="12.75" x14ac:dyDescent="0.2"/>
  <cols>
    <col min="1" max="1" width="17" style="1" customWidth="1"/>
    <col min="2" max="2" width="12" style="1" bestFit="1" customWidth="1"/>
    <col min="3" max="3" width="14.28515625" style="1" customWidth="1"/>
    <col min="4" max="4" width="5.140625" style="1" customWidth="1"/>
    <col min="5" max="5" width="21.140625" style="1" customWidth="1"/>
    <col min="6" max="6" width="12" style="1" bestFit="1" customWidth="1"/>
    <col min="7" max="7" width="10.140625" style="1" bestFit="1" customWidth="1"/>
    <col min="8" max="16384" width="9.140625" style="1"/>
  </cols>
  <sheetData>
    <row r="2" spans="1:8" x14ac:dyDescent="0.2">
      <c r="A2" s="68" t="s">
        <v>89</v>
      </c>
    </row>
    <row r="7" spans="1:8" x14ac:dyDescent="0.2">
      <c r="A7" s="68" t="s">
        <v>141</v>
      </c>
      <c r="B7" s="68"/>
      <c r="C7" s="68"/>
      <c r="D7" s="68"/>
      <c r="E7" s="68" t="s">
        <v>100</v>
      </c>
      <c r="F7" s="68"/>
      <c r="G7" s="68"/>
      <c r="H7" s="68"/>
    </row>
    <row r="8" spans="1:8" x14ac:dyDescent="0.2">
      <c r="B8" s="97" t="s">
        <v>101</v>
      </c>
      <c r="F8" s="97" t="s">
        <v>101</v>
      </c>
    </row>
    <row r="9" spans="1:8" x14ac:dyDescent="0.2">
      <c r="A9" s="1" t="s">
        <v>90</v>
      </c>
      <c r="B9" s="441">
        <f>'PS INPUTS'!C20</f>
        <v>1680257.3918544867</v>
      </c>
      <c r="C9" s="399">
        <f>B9/B14</f>
        <v>0.56109835326630486</v>
      </c>
      <c r="D9" s="6"/>
      <c r="E9" s="1" t="s">
        <v>91</v>
      </c>
      <c r="F9" s="441">
        <f>'PS INPUTS'!C21</f>
        <v>3609064.7560000001</v>
      </c>
      <c r="G9" s="399">
        <f>F9/F14</f>
        <v>0.55850710120406688</v>
      </c>
      <c r="H9" s="98"/>
    </row>
    <row r="10" spans="1:8" x14ac:dyDescent="0.2">
      <c r="A10" s="1" t="s">
        <v>0</v>
      </c>
      <c r="B10" s="441">
        <v>598360.75300000003</v>
      </c>
      <c r="C10" s="399">
        <f>B10/B14</f>
        <v>0.19981416823105508</v>
      </c>
      <c r="D10" s="6"/>
      <c r="E10" s="1" t="s">
        <v>2</v>
      </c>
      <c r="F10" s="441">
        <v>1681619</v>
      </c>
      <c r="G10" s="399">
        <f>F10/F14</f>
        <v>0.26023255788311539</v>
      </c>
      <c r="H10" s="98"/>
    </row>
    <row r="11" spans="1:8" x14ac:dyDescent="0.2">
      <c r="A11" s="1" t="s">
        <v>92</v>
      </c>
      <c r="B11" s="441">
        <v>298786</v>
      </c>
      <c r="C11" s="399">
        <f>B11/B14</f>
        <v>9.9775387623198639E-2</v>
      </c>
      <c r="D11" s="6"/>
      <c r="E11" s="1" t="s">
        <v>93</v>
      </c>
      <c r="F11" s="441">
        <v>997569.33079000004</v>
      </c>
      <c r="G11" s="399">
        <f>F11/F14</f>
        <v>0.15437505083923847</v>
      </c>
      <c r="H11" s="98"/>
    </row>
    <row r="12" spans="1:8" x14ac:dyDescent="0.2">
      <c r="A12" s="1" t="s">
        <v>94</v>
      </c>
      <c r="B12" s="441">
        <v>417182.06641000003</v>
      </c>
      <c r="C12" s="399">
        <f>B12/B14</f>
        <v>0.1393120908794413</v>
      </c>
      <c r="D12" s="6"/>
      <c r="E12" s="1" t="s">
        <v>95</v>
      </c>
      <c r="F12" s="441">
        <v>173732.353</v>
      </c>
      <c r="G12" s="399">
        <f>F12/F14</f>
        <v>2.6885290073579291E-2</v>
      </c>
      <c r="H12" s="98"/>
    </row>
    <row r="13" spans="1:8" x14ac:dyDescent="0.2">
      <c r="B13" s="6"/>
      <c r="D13" s="6"/>
      <c r="F13" s="441"/>
    </row>
    <row r="14" spans="1:8" x14ac:dyDescent="0.2">
      <c r="A14" s="1" t="s">
        <v>1</v>
      </c>
      <c r="B14" s="441">
        <f>SUM(B9:B13)</f>
        <v>2994586.2112644869</v>
      </c>
      <c r="C14" s="399">
        <f>SUM(C9:C12)</f>
        <v>0.99999999999999989</v>
      </c>
      <c r="D14" s="6"/>
      <c r="E14" s="1" t="s">
        <v>1</v>
      </c>
      <c r="F14" s="441">
        <f>SUM(F9:F13)</f>
        <v>6461985.4397900002</v>
      </c>
      <c r="G14" s="399">
        <f>SUM(G9:G12)</f>
        <v>1</v>
      </c>
    </row>
    <row r="15" spans="1:8" x14ac:dyDescent="0.2">
      <c r="B15" s="6"/>
      <c r="C15" s="6"/>
      <c r="D15" s="6"/>
      <c r="E15" s="20"/>
      <c r="F15" s="6"/>
      <c r="G15" s="6"/>
    </row>
    <row r="16" spans="1:8" x14ac:dyDescent="0.2">
      <c r="A16" s="1" t="s">
        <v>142</v>
      </c>
      <c r="B16" s="6"/>
      <c r="C16" s="6"/>
      <c r="D16" s="6"/>
      <c r="E16" s="99"/>
      <c r="F16" s="6"/>
      <c r="G16" s="6"/>
    </row>
    <row r="17" spans="1:6" x14ac:dyDescent="0.2">
      <c r="B17" s="20"/>
    </row>
    <row r="18" spans="1:6" x14ac:dyDescent="0.2">
      <c r="A18" s="68" t="s">
        <v>96</v>
      </c>
      <c r="F18" s="20"/>
    </row>
    <row r="19" spans="1:6" x14ac:dyDescent="0.2">
      <c r="A19" s="68"/>
      <c r="F19" s="99"/>
    </row>
    <row r="20" spans="1:6" x14ac:dyDescent="0.2">
      <c r="A20" s="1" t="s">
        <v>97</v>
      </c>
      <c r="B20" s="20">
        <f>B14</f>
        <v>2994586.2112644869</v>
      </c>
      <c r="C20" s="100">
        <f>ROUND(+B20/B23,2)</f>
        <v>0.32</v>
      </c>
    </row>
    <row r="21" spans="1:6" x14ac:dyDescent="0.2">
      <c r="A21" s="1" t="s">
        <v>98</v>
      </c>
      <c r="B21" s="20">
        <f>F14</f>
        <v>6461985.4397900002</v>
      </c>
      <c r="C21" s="100">
        <f>ROUND(+B21/B23,2)</f>
        <v>0.68</v>
      </c>
    </row>
    <row r="23" spans="1:6" x14ac:dyDescent="0.2">
      <c r="A23" s="1" t="s">
        <v>99</v>
      </c>
      <c r="B23" s="20">
        <f>+B20+B21</f>
        <v>9456571.6510544866</v>
      </c>
    </row>
    <row r="25" spans="1:6" x14ac:dyDescent="0.2">
      <c r="B25" s="101"/>
    </row>
  </sheetData>
  <phoneticPr fontId="13" type="noConversion"/>
  <pageMargins left="0.75" right="0.75" top="1" bottom="1" header="0.5" footer="0.5"/>
  <pageSetup paperSize="5" orientation="landscape" r:id="rId1"/>
  <headerFooter alignWithMargins="0">
    <oddFooter>&amp;R&amp;F
&amp;A</oddFooter>
  </headerFooter>
  <ignoredErrors>
    <ignoredError sqref="B8:F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Z98"/>
  <sheetViews>
    <sheetView view="pageBreakPreview" topLeftCell="A4" zoomScaleNormal="100" zoomScaleSheetLayoutView="100" workbookViewId="0">
      <selection activeCell="C41" sqref="C41"/>
    </sheetView>
  </sheetViews>
  <sheetFormatPr defaultRowHeight="12.75" x14ac:dyDescent="0.2"/>
  <cols>
    <col min="1" max="1" width="9.140625" style="176"/>
    <col min="2" max="2" width="19.28515625" style="176" customWidth="1"/>
    <col min="3" max="3" width="15.140625" style="176" customWidth="1"/>
    <col min="4" max="4" width="12.28515625" style="176" customWidth="1"/>
    <col min="5" max="5" width="12.5703125" style="176" customWidth="1"/>
    <col min="6" max="6" width="12.42578125" style="176" customWidth="1"/>
    <col min="7" max="7" width="12.28515625" style="176" customWidth="1"/>
    <col min="8" max="8" width="14" style="176" customWidth="1"/>
    <col min="9" max="9" width="14.5703125" style="176" customWidth="1"/>
    <col min="10" max="10" width="14.85546875" style="176" customWidth="1"/>
    <col min="11" max="11" width="12.5703125" style="187" customWidth="1"/>
    <col min="12" max="13" width="14.85546875" style="187" customWidth="1"/>
    <col min="14" max="14" width="11.140625" style="178" bestFit="1" customWidth="1"/>
    <col min="15" max="15" width="17" style="178" customWidth="1"/>
    <col min="16" max="16" width="10.85546875" style="178" customWidth="1"/>
    <col min="17" max="26" width="9.140625" style="178"/>
    <col min="27" max="16384" width="9.140625" style="176"/>
  </cols>
  <sheetData>
    <row r="1" spans="1:26" ht="18" x14ac:dyDescent="0.25">
      <c r="A1" s="282" t="s">
        <v>107</v>
      </c>
      <c r="B1" s="282"/>
      <c r="D1" s="193"/>
      <c r="E1" s="193"/>
      <c r="F1" s="193"/>
      <c r="G1" s="193"/>
      <c r="H1" s="193"/>
      <c r="I1" s="193"/>
      <c r="J1" s="193"/>
      <c r="K1" s="244"/>
      <c r="L1" s="244"/>
      <c r="M1" s="244"/>
      <c r="N1" s="311"/>
      <c r="O1" s="311"/>
    </row>
    <row r="2" spans="1:26" x14ac:dyDescent="0.2">
      <c r="D2" s="193"/>
      <c r="E2" s="193"/>
      <c r="F2" s="193"/>
      <c r="G2" s="193"/>
      <c r="H2" s="193"/>
      <c r="I2" s="193"/>
      <c r="J2" s="193"/>
      <c r="K2" s="243"/>
      <c r="L2" s="243"/>
      <c r="M2" s="243"/>
    </row>
    <row r="3" spans="1:26" x14ac:dyDescent="0.2">
      <c r="A3" s="172"/>
      <c r="B3" s="172"/>
      <c r="C3" s="312"/>
      <c r="D3" s="172" t="str">
        <f>'PS INPUTS'!C3</f>
        <v>October</v>
      </c>
      <c r="E3" s="172" t="str">
        <f>'PS INPUTS'!D3</f>
        <v>November</v>
      </c>
      <c r="F3" s="172" t="str">
        <f>'PS INPUTS'!E3</f>
        <v>December</v>
      </c>
      <c r="G3" s="172" t="str">
        <f>'PS INPUTS'!F3</f>
        <v>January</v>
      </c>
      <c r="H3" s="172" t="str">
        <f>'PS INPUTS'!G3</f>
        <v>February</v>
      </c>
      <c r="I3" s="172" t="str">
        <f>'PS INPUTS'!H3</f>
        <v>March</v>
      </c>
      <c r="J3" s="172" t="str">
        <f>'PS INPUTS'!I3</f>
        <v xml:space="preserve">April </v>
      </c>
      <c r="K3" s="174"/>
      <c r="L3" s="174"/>
      <c r="M3" s="174"/>
      <c r="N3" s="174"/>
      <c r="O3" s="174"/>
      <c r="P3" s="174"/>
    </row>
    <row r="4" spans="1:26" x14ac:dyDescent="0.2">
      <c r="A4" s="172"/>
      <c r="B4" s="172"/>
      <c r="C4" s="312"/>
      <c r="D4" s="172">
        <f>'PS INPUTS'!C4</f>
        <v>2017</v>
      </c>
      <c r="E4" s="172">
        <f>'PS INPUTS'!D4</f>
        <v>2017</v>
      </c>
      <c r="F4" s="172">
        <f>'PS INPUTS'!E4</f>
        <v>2017</v>
      </c>
      <c r="G4" s="172">
        <f>'PS INPUTS'!F4</f>
        <v>2018</v>
      </c>
      <c r="H4" s="172">
        <f>'PS INPUTS'!G4</f>
        <v>2018</v>
      </c>
      <c r="I4" s="172">
        <f>'PS INPUTS'!H4</f>
        <v>2018</v>
      </c>
      <c r="J4" s="172">
        <f>'PS INPUTS'!I4</f>
        <v>2018</v>
      </c>
      <c r="K4" s="174"/>
      <c r="L4" s="174"/>
      <c r="M4" s="174"/>
      <c r="N4" s="174"/>
      <c r="O4" s="174"/>
      <c r="P4" s="174"/>
    </row>
    <row r="5" spans="1:26" x14ac:dyDescent="0.2">
      <c r="A5" s="172"/>
      <c r="B5" s="172"/>
      <c r="C5" s="312"/>
      <c r="D5" s="172" t="str">
        <f>'PS INPUTS'!C5</f>
        <v>actual</v>
      </c>
      <c r="E5" s="172" t="str">
        <f>'PS INPUTS'!D5</f>
        <v>actual</v>
      </c>
      <c r="F5" s="172" t="str">
        <f>'PS INPUTS'!E5</f>
        <v>actual</v>
      </c>
      <c r="G5" s="172" t="str">
        <f>'PS INPUTS'!F5</f>
        <v>actual</v>
      </c>
      <c r="H5" s="172" t="str">
        <f>'PS INPUTS'!G5</f>
        <v>actual</v>
      </c>
      <c r="I5" s="172" t="str">
        <f>'PS INPUTS'!H5</f>
        <v>actual</v>
      </c>
      <c r="J5" s="172" t="str">
        <f>'PS INPUTS'!I5</f>
        <v>actual</v>
      </c>
      <c r="K5" s="174"/>
      <c r="L5" s="174"/>
      <c r="M5" s="174"/>
      <c r="N5" s="174"/>
      <c r="O5" s="174"/>
    </row>
    <row r="6" spans="1:26" x14ac:dyDescent="0.2">
      <c r="B6" s="172"/>
      <c r="C6" s="172"/>
      <c r="D6" s="313"/>
      <c r="E6" s="313"/>
      <c r="F6" s="313"/>
      <c r="G6" s="313"/>
      <c r="H6" s="313"/>
      <c r="I6" s="313"/>
      <c r="J6" s="313"/>
      <c r="K6" s="173"/>
      <c r="L6" s="173"/>
      <c r="M6" s="173"/>
    </row>
    <row r="7" spans="1:26" x14ac:dyDescent="0.2">
      <c r="D7" s="228"/>
      <c r="E7" s="228"/>
      <c r="F7" s="228"/>
      <c r="G7" s="228"/>
      <c r="H7" s="228"/>
      <c r="I7" s="228"/>
      <c r="J7" s="228"/>
      <c r="K7" s="211"/>
      <c r="L7" s="211"/>
      <c r="M7" s="211"/>
    </row>
    <row r="8" spans="1:26" s="263" customFormat="1" x14ac:dyDescent="0.2">
      <c r="A8" s="278" t="s">
        <v>102</v>
      </c>
      <c r="C8" s="263" t="s">
        <v>5</v>
      </c>
      <c r="D8" s="335"/>
      <c r="E8" s="335"/>
      <c r="F8" s="335"/>
      <c r="G8" s="335"/>
      <c r="H8" s="335"/>
      <c r="I8" s="335"/>
      <c r="J8" s="335"/>
      <c r="K8" s="271"/>
      <c r="L8" s="271"/>
      <c r="M8" s="271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</row>
    <row r="9" spans="1:26" s="263" customFormat="1" x14ac:dyDescent="0.2">
      <c r="D9" s="335"/>
      <c r="E9" s="335"/>
      <c r="F9" s="335"/>
      <c r="G9" s="335"/>
      <c r="H9" s="335"/>
      <c r="I9" s="335"/>
      <c r="J9" s="335"/>
      <c r="K9" s="271"/>
      <c r="L9" s="271"/>
      <c r="M9" s="271"/>
      <c r="N9" s="271"/>
      <c r="O9" s="271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</row>
    <row r="10" spans="1:26" s="263" customFormat="1" x14ac:dyDescent="0.2">
      <c r="A10" s="263" t="s">
        <v>103</v>
      </c>
      <c r="D10" s="299">
        <f>D21+D30+D38+D46</f>
        <v>849730.86239999998</v>
      </c>
      <c r="E10" s="299">
        <f t="shared" ref="E10:J10" si="0">E21+E30+E38+E46</f>
        <v>794671.07599999988</v>
      </c>
      <c r="F10" s="299">
        <f t="shared" si="0"/>
        <v>1493289.6864</v>
      </c>
      <c r="G10" s="299">
        <f t="shared" si="0"/>
        <v>2519541.7436000002</v>
      </c>
      <c r="H10" s="299">
        <f t="shared" si="0"/>
        <v>2871217.784</v>
      </c>
      <c r="I10" s="299">
        <f t="shared" si="0"/>
        <v>2334662.9115999998</v>
      </c>
      <c r="J10" s="299">
        <f t="shared" si="0"/>
        <v>1972668.6264</v>
      </c>
      <c r="K10" s="302"/>
      <c r="L10" s="302"/>
      <c r="M10" s="302"/>
      <c r="N10" s="302"/>
      <c r="O10" s="302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</row>
    <row r="11" spans="1:26" s="263" customFormat="1" x14ac:dyDescent="0.2">
      <c r="A11" s="263" t="s">
        <v>104</v>
      </c>
      <c r="D11" s="303">
        <f>D22+D31+D39+D47</f>
        <v>688079.36139999994</v>
      </c>
      <c r="E11" s="303">
        <f t="shared" ref="E11:J11" si="1">E22+E31+E39+E47</f>
        <v>1015731.791</v>
      </c>
      <c r="F11" s="303">
        <f t="shared" si="1"/>
        <v>1909108.6754000001</v>
      </c>
      <c r="G11" s="303">
        <f t="shared" si="1"/>
        <v>3222442.8495999998</v>
      </c>
      <c r="H11" s="303">
        <f t="shared" si="1"/>
        <v>3669741.5789999999</v>
      </c>
      <c r="I11" s="303">
        <f t="shared" si="1"/>
        <v>2984439.0976</v>
      </c>
      <c r="J11" s="303">
        <f t="shared" si="1"/>
        <v>2522511.3854</v>
      </c>
      <c r="K11" s="302"/>
      <c r="L11" s="302"/>
      <c r="M11" s="302"/>
      <c r="N11" s="302"/>
      <c r="O11" s="302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</row>
    <row r="12" spans="1:26" s="263" customFormat="1" x14ac:dyDescent="0.2">
      <c r="A12" s="263" t="s">
        <v>105</v>
      </c>
      <c r="D12" s="271">
        <f>SUM(D10+D11)</f>
        <v>1537810.2237999998</v>
      </c>
      <c r="E12" s="271">
        <f t="shared" ref="E12:J12" si="2">SUM(E10+E11)</f>
        <v>1810402.8669999999</v>
      </c>
      <c r="F12" s="271">
        <f t="shared" si="2"/>
        <v>3402398.3618000001</v>
      </c>
      <c r="G12" s="271">
        <f t="shared" si="2"/>
        <v>5741984.5932</v>
      </c>
      <c r="H12" s="271">
        <f t="shared" si="2"/>
        <v>6540959.3629999999</v>
      </c>
      <c r="I12" s="271">
        <f t="shared" si="2"/>
        <v>5319102.0091999993</v>
      </c>
      <c r="J12" s="271">
        <f t="shared" si="2"/>
        <v>4495180.0118000004</v>
      </c>
      <c r="K12" s="271"/>
      <c r="L12" s="271"/>
      <c r="M12" s="271"/>
      <c r="N12" s="271"/>
      <c r="O12" s="271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</row>
    <row r="13" spans="1:26" s="263" customFormat="1" x14ac:dyDescent="0.2">
      <c r="D13" s="335"/>
      <c r="E13" s="335"/>
      <c r="F13" s="335"/>
      <c r="G13" s="335"/>
      <c r="H13" s="335"/>
      <c r="I13" s="335"/>
      <c r="J13" s="335"/>
      <c r="K13" s="271"/>
      <c r="L13" s="271"/>
      <c r="M13" s="271"/>
      <c r="N13" s="271"/>
      <c r="O13" s="271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</row>
    <row r="14" spans="1:26" s="263" customFormat="1" x14ac:dyDescent="0.2">
      <c r="A14" s="263" t="s">
        <v>136</v>
      </c>
      <c r="D14" s="271">
        <f>D25+D34+D42+D50</f>
        <v>0</v>
      </c>
      <c r="E14" s="271">
        <f t="shared" ref="E14:J14" si="3">E25+E34+E42+E50</f>
        <v>984678.33000000007</v>
      </c>
      <c r="F14" s="271">
        <f t="shared" si="3"/>
        <v>589051.90999999992</v>
      </c>
      <c r="G14" s="271">
        <f t="shared" si="3"/>
        <v>1125015.7</v>
      </c>
      <c r="H14" s="271">
        <f t="shared" si="3"/>
        <v>2141603.7000000002</v>
      </c>
      <c r="I14" s="271">
        <f t="shared" si="3"/>
        <v>3212445.36</v>
      </c>
      <c r="J14" s="271">
        <f t="shared" si="3"/>
        <v>2359639.2400000002</v>
      </c>
      <c r="K14" s="271"/>
      <c r="L14" s="271"/>
      <c r="M14" s="271"/>
      <c r="N14" s="271"/>
      <c r="O14" s="271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</row>
    <row r="15" spans="1:26" s="263" customFormat="1" x14ac:dyDescent="0.2">
      <c r="D15" s="335"/>
      <c r="E15" s="335"/>
      <c r="F15" s="335"/>
      <c r="G15" s="335"/>
      <c r="H15" s="335"/>
      <c r="I15" s="335"/>
      <c r="J15" s="335"/>
      <c r="K15" s="271"/>
      <c r="L15" s="271"/>
      <c r="M15" s="271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</row>
    <row r="16" spans="1:26" s="263" customFormat="1" x14ac:dyDescent="0.2">
      <c r="A16" s="189"/>
      <c r="B16" s="189"/>
      <c r="C16" s="189"/>
      <c r="D16" s="335"/>
      <c r="E16" s="335"/>
      <c r="F16" s="335"/>
      <c r="G16" s="335"/>
      <c r="H16" s="335"/>
      <c r="I16" s="335"/>
      <c r="J16" s="335"/>
      <c r="K16" s="271"/>
      <c r="L16" s="271"/>
      <c r="M16" s="271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</row>
    <row r="17" spans="1:15" x14ac:dyDescent="0.2">
      <c r="A17" s="176" t="s">
        <v>31</v>
      </c>
      <c r="D17" s="185"/>
      <c r="E17" s="227"/>
      <c r="F17" s="185"/>
      <c r="G17" s="227"/>
      <c r="H17" s="228"/>
      <c r="I17" s="228"/>
      <c r="J17" s="228"/>
      <c r="K17" s="211"/>
      <c r="L17" s="211"/>
      <c r="M17" s="211"/>
    </row>
    <row r="18" spans="1:15" x14ac:dyDescent="0.2">
      <c r="D18" s="228"/>
      <c r="E18" s="228"/>
      <c r="F18" s="228"/>
      <c r="G18" s="228"/>
      <c r="H18" s="228"/>
      <c r="I18" s="228"/>
      <c r="J18" s="228"/>
      <c r="K18" s="211"/>
      <c r="L18" s="211"/>
      <c r="M18" s="211"/>
    </row>
    <row r="19" spans="1:15" x14ac:dyDescent="0.2">
      <c r="A19" s="197" t="s">
        <v>0</v>
      </c>
      <c r="B19" s="197"/>
      <c r="D19" s="228"/>
      <c r="E19" s="228"/>
      <c r="F19" s="228"/>
      <c r="G19" s="228"/>
      <c r="H19" s="228"/>
      <c r="I19" s="228"/>
      <c r="J19" s="228"/>
      <c r="K19" s="211"/>
      <c r="L19" s="211"/>
      <c r="M19" s="211"/>
    </row>
    <row r="20" spans="1:15" x14ac:dyDescent="0.2"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O20" s="289"/>
    </row>
    <row r="21" spans="1:15" x14ac:dyDescent="0.2">
      <c r="A21" s="176" t="s">
        <v>103</v>
      </c>
      <c r="D21" s="183">
        <v>89206.232399999994</v>
      </c>
      <c r="E21" s="465">
        <v>243693.30599999998</v>
      </c>
      <c r="F21" s="183">
        <v>429454.6164</v>
      </c>
      <c r="G21" s="183">
        <v>504893.61359999998</v>
      </c>
      <c r="H21" s="466">
        <v>323941.554</v>
      </c>
      <c r="I21" s="466">
        <v>381651.14159999997</v>
      </c>
      <c r="J21" s="467">
        <v>228439.97639999999</v>
      </c>
      <c r="K21" s="211"/>
      <c r="L21" s="211"/>
      <c r="M21" s="211"/>
      <c r="O21" s="235"/>
    </row>
    <row r="22" spans="1:15" x14ac:dyDescent="0.2">
      <c r="A22" s="176" t="s">
        <v>104</v>
      </c>
      <c r="D22" s="468">
        <v>113985.7414</v>
      </c>
      <c r="E22" s="468">
        <v>311385.891</v>
      </c>
      <c r="F22" s="468">
        <v>548747.56539999996</v>
      </c>
      <c r="G22" s="468">
        <v>645141.83959999995</v>
      </c>
      <c r="H22" s="469">
        <v>413925.31900000002</v>
      </c>
      <c r="I22" s="470">
        <v>487665.34759999998</v>
      </c>
      <c r="J22" s="471">
        <v>291895.52539999998</v>
      </c>
      <c r="K22" s="211"/>
      <c r="L22" s="211"/>
      <c r="M22" s="211"/>
      <c r="O22" s="234"/>
    </row>
    <row r="23" spans="1:15" x14ac:dyDescent="0.2">
      <c r="A23" s="176" t="s">
        <v>105</v>
      </c>
      <c r="D23" s="207">
        <f t="shared" ref="D23:J23" si="4">+D21+D22</f>
        <v>203191.97379999998</v>
      </c>
      <c r="E23" s="207">
        <f t="shared" si="4"/>
        <v>555079.19699999993</v>
      </c>
      <c r="F23" s="207">
        <f t="shared" si="4"/>
        <v>978202.1817999999</v>
      </c>
      <c r="G23" s="207">
        <f t="shared" si="4"/>
        <v>1150035.4531999999</v>
      </c>
      <c r="H23" s="207">
        <f t="shared" si="4"/>
        <v>737866.87300000002</v>
      </c>
      <c r="I23" s="207">
        <f t="shared" si="4"/>
        <v>869316.48919999995</v>
      </c>
      <c r="J23" s="207">
        <f t="shared" si="4"/>
        <v>520335.50179999997</v>
      </c>
      <c r="K23" s="207"/>
      <c r="L23" s="207"/>
      <c r="M23" s="211"/>
      <c r="O23" s="234"/>
    </row>
    <row r="24" spans="1:15" x14ac:dyDescent="0.2">
      <c r="D24" s="205"/>
      <c r="E24" s="205"/>
      <c r="F24" s="205"/>
      <c r="G24" s="205"/>
      <c r="H24" s="205"/>
      <c r="I24" s="205"/>
      <c r="J24" s="205"/>
      <c r="K24" s="211"/>
      <c r="L24" s="211"/>
      <c r="M24" s="211"/>
      <c r="O24" s="234"/>
    </row>
    <row r="25" spans="1:15" x14ac:dyDescent="0.2">
      <c r="A25" s="176" t="s">
        <v>136</v>
      </c>
      <c r="D25" s="211">
        <f>'Gas State Recvd$ vs Costs'!D26</f>
        <v>0</v>
      </c>
      <c r="E25" s="211">
        <v>115427.63</v>
      </c>
      <c r="F25" s="211">
        <f>'Gas State Recvd$ vs Costs'!F26</f>
        <v>73660.460000000006</v>
      </c>
      <c r="G25" s="211">
        <f>'Gas State Recvd$ vs Costs'!G26</f>
        <v>137899.72</v>
      </c>
      <c r="H25" s="211">
        <f>'Gas State Recvd$ vs Costs'!H26</f>
        <v>272332.19</v>
      </c>
      <c r="I25" s="211">
        <f>'Gas State Recvd$ vs Costs'!I26</f>
        <v>409702.53</v>
      </c>
      <c r="J25" s="211">
        <f>'Gas State Recvd$ vs Costs'!J26</f>
        <v>290634.34000000003</v>
      </c>
      <c r="K25" s="211"/>
      <c r="L25" s="211"/>
      <c r="M25" s="211"/>
      <c r="O25" s="235"/>
    </row>
    <row r="26" spans="1:15" x14ac:dyDescent="0.2">
      <c r="A26" s="314"/>
      <c r="K26" s="178"/>
      <c r="L26" s="178"/>
      <c r="M26" s="178"/>
      <c r="O26" s="235"/>
    </row>
    <row r="27" spans="1:15" x14ac:dyDescent="0.2">
      <c r="A27" s="185"/>
      <c r="G27" s="178"/>
      <c r="H27" s="178"/>
      <c r="K27" s="178"/>
      <c r="L27" s="178"/>
      <c r="M27" s="178"/>
    </row>
    <row r="28" spans="1:15" x14ac:dyDescent="0.2">
      <c r="A28" s="197" t="s">
        <v>7</v>
      </c>
      <c r="B28" s="181"/>
      <c r="C28" s="181"/>
      <c r="D28" s="228"/>
      <c r="E28" s="228"/>
      <c r="F28" s="228"/>
      <c r="G28" s="228"/>
      <c r="H28" s="228"/>
      <c r="I28" s="228"/>
      <c r="J28" s="228"/>
      <c r="K28" s="211"/>
      <c r="L28" s="211"/>
      <c r="M28" s="211"/>
      <c r="O28" s="235"/>
    </row>
    <row r="29" spans="1:15" x14ac:dyDescent="0.2">
      <c r="D29" s="185"/>
      <c r="E29" s="227"/>
      <c r="F29" s="185"/>
      <c r="G29" s="227"/>
      <c r="H29" s="228"/>
      <c r="I29" s="228"/>
      <c r="J29" s="228"/>
      <c r="K29" s="211"/>
      <c r="L29" s="211"/>
      <c r="M29" s="211"/>
      <c r="O29" s="235"/>
    </row>
    <row r="30" spans="1:15" x14ac:dyDescent="0.2">
      <c r="A30" s="176" t="s">
        <v>103</v>
      </c>
      <c r="D30" s="38">
        <v>87185.75</v>
      </c>
      <c r="E30" s="38">
        <v>113860.95</v>
      </c>
      <c r="F30" s="38">
        <v>207837.46</v>
      </c>
      <c r="G30" s="38">
        <v>356019.29</v>
      </c>
      <c r="H30" s="38">
        <v>286360.82</v>
      </c>
      <c r="I30" s="38">
        <v>238470.35</v>
      </c>
      <c r="J30" s="38">
        <v>223941.41</v>
      </c>
      <c r="K30" s="315"/>
      <c r="L30" s="315"/>
      <c r="M30" s="315"/>
      <c r="O30" s="235"/>
    </row>
    <row r="31" spans="1:15" x14ac:dyDescent="0.2">
      <c r="A31" s="176" t="s">
        <v>104</v>
      </c>
      <c r="D31" s="442">
        <v>89060.81</v>
      </c>
      <c r="E31" s="442">
        <v>145833.18</v>
      </c>
      <c r="F31" s="442">
        <v>265849.87</v>
      </c>
      <c r="G31" s="442">
        <v>454338.6</v>
      </c>
      <c r="H31" s="442">
        <v>364270.55</v>
      </c>
      <c r="I31" s="442">
        <v>303794.33</v>
      </c>
      <c r="J31" s="442">
        <v>285864.21999999997</v>
      </c>
      <c r="K31" s="315"/>
      <c r="L31" s="315"/>
      <c r="M31" s="315"/>
      <c r="O31" s="241"/>
    </row>
    <row r="32" spans="1:15" x14ac:dyDescent="0.2">
      <c r="A32" s="176" t="s">
        <v>105</v>
      </c>
      <c r="D32" s="464">
        <f t="shared" ref="D32:J32" si="5">SUM(D28:D31)</f>
        <v>176246.56</v>
      </c>
      <c r="E32" s="464">
        <f t="shared" si="5"/>
        <v>259694.13</v>
      </c>
      <c r="F32" s="464">
        <f t="shared" si="5"/>
        <v>473687.32999999996</v>
      </c>
      <c r="G32" s="464">
        <f t="shared" si="5"/>
        <v>810357.8899999999</v>
      </c>
      <c r="H32" s="464">
        <f t="shared" si="5"/>
        <v>650631.37</v>
      </c>
      <c r="I32" s="464">
        <f t="shared" si="5"/>
        <v>542264.68000000005</v>
      </c>
      <c r="J32" s="464">
        <f t="shared" si="5"/>
        <v>509805.63</v>
      </c>
      <c r="K32" s="316"/>
      <c r="L32" s="316"/>
      <c r="M32" s="315"/>
      <c r="O32" s="235"/>
    </row>
    <row r="33" spans="1:26" x14ac:dyDescent="0.2">
      <c r="D33" s="228"/>
      <c r="E33" s="228"/>
      <c r="F33" s="228"/>
      <c r="G33" s="228"/>
      <c r="H33" s="228"/>
      <c r="I33" s="228"/>
      <c r="J33" s="228"/>
      <c r="K33" s="211"/>
      <c r="L33" s="211"/>
      <c r="M33" s="211"/>
    </row>
    <row r="34" spans="1:26" x14ac:dyDescent="0.2">
      <c r="A34" s="176" t="s">
        <v>136</v>
      </c>
      <c r="D34" s="211">
        <f>'Gas State Recvd$ vs Costs'!D42</f>
        <v>0</v>
      </c>
      <c r="E34" s="211">
        <f>'Gas State Recvd$ vs Costs'!E42</f>
        <v>150730.48000000001</v>
      </c>
      <c r="F34" s="211">
        <f>'Gas State Recvd$ vs Costs'!F42</f>
        <v>93062.62</v>
      </c>
      <c r="G34" s="211">
        <f>'Gas State Recvd$ vs Costs'!G42</f>
        <v>141302.76</v>
      </c>
      <c r="H34" s="211">
        <f>'Gas State Recvd$ vs Costs'!H42</f>
        <v>250838.13</v>
      </c>
      <c r="I34" s="211">
        <f>'Gas State Recvd$ vs Costs'!I42</f>
        <v>345793.32</v>
      </c>
      <c r="J34" s="211">
        <f>'Gas State Recvd$ vs Costs'!J42</f>
        <v>291532.62</v>
      </c>
      <c r="K34" s="211"/>
      <c r="L34" s="211"/>
      <c r="M34" s="211"/>
      <c r="O34" s="235"/>
    </row>
    <row r="35" spans="1:26" x14ac:dyDescent="0.2">
      <c r="D35" s="211"/>
      <c r="E35" s="211"/>
      <c r="F35" s="211"/>
      <c r="G35" s="211"/>
      <c r="H35" s="211"/>
      <c r="I35" s="211"/>
      <c r="J35" s="211"/>
      <c r="K35" s="211"/>
      <c r="L35" s="211"/>
      <c r="M35" s="211"/>
    </row>
    <row r="36" spans="1:26" s="263" customFormat="1" x14ac:dyDescent="0.2">
      <c r="A36" s="336" t="s">
        <v>106</v>
      </c>
      <c r="B36" s="336"/>
      <c r="D36" s="337"/>
      <c r="E36" s="337"/>
      <c r="F36" s="337"/>
      <c r="G36" s="337"/>
      <c r="H36" s="337"/>
      <c r="I36" s="337"/>
      <c r="J36" s="337"/>
      <c r="K36" s="337"/>
      <c r="L36" s="337"/>
      <c r="M36" s="337"/>
      <c r="N36" s="300"/>
      <c r="O36" s="338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</row>
    <row r="37" spans="1:26" s="263" customFormat="1" x14ac:dyDescent="0.2">
      <c r="D37" s="268"/>
      <c r="E37" s="339"/>
      <c r="F37" s="268"/>
      <c r="G37" s="339"/>
      <c r="H37" s="335"/>
      <c r="I37" s="335"/>
      <c r="J37" s="335"/>
      <c r="K37" s="271"/>
      <c r="L37" s="271"/>
      <c r="M37" s="271"/>
      <c r="N37" s="300"/>
      <c r="O37" s="309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</row>
    <row r="38" spans="1:26" s="263" customFormat="1" x14ac:dyDescent="0.2">
      <c r="A38" s="263" t="s">
        <v>103</v>
      </c>
      <c r="D38" s="340">
        <f>'PS INPUTS'!C14</f>
        <v>586250.14</v>
      </c>
      <c r="E38" s="340">
        <f>'PS INPUTS'!D14</f>
        <v>316308.87</v>
      </c>
      <c r="F38" s="340">
        <f>'PS INPUTS'!E14</f>
        <v>655916.61</v>
      </c>
      <c r="G38" s="340">
        <f>'PS INPUTS'!F14</f>
        <v>1304276.7</v>
      </c>
      <c r="H38" s="340">
        <f>'PS INPUTS'!G14</f>
        <v>1997133.07</v>
      </c>
      <c r="I38" s="340">
        <f>'PS INPUTS'!H14</f>
        <v>1483250.42</v>
      </c>
      <c r="J38" s="340">
        <f>'PS INPUTS'!I14</f>
        <v>1302294.24</v>
      </c>
      <c r="K38" s="340"/>
      <c r="L38" s="340"/>
      <c r="M38" s="340"/>
      <c r="N38" s="340"/>
      <c r="O38" s="340"/>
      <c r="P38" s="341"/>
      <c r="Q38" s="300"/>
      <c r="R38" s="300"/>
      <c r="S38" s="300"/>
      <c r="T38" s="300"/>
      <c r="U38" s="300"/>
      <c r="V38" s="300"/>
      <c r="W38" s="300"/>
      <c r="X38" s="300"/>
      <c r="Y38" s="300"/>
      <c r="Z38" s="300"/>
    </row>
    <row r="39" spans="1:26" s="263" customFormat="1" x14ac:dyDescent="0.2">
      <c r="A39" s="263" t="s">
        <v>104</v>
      </c>
      <c r="D39" s="443">
        <f>'PS INPUTS'!C15</f>
        <v>396338.12</v>
      </c>
      <c r="E39" s="443">
        <f>'PS INPUTS'!D15</f>
        <v>404172.44</v>
      </c>
      <c r="F39" s="443">
        <f>'PS INPUTS'!E15</f>
        <v>838115.67</v>
      </c>
      <c r="G39" s="443">
        <f>'PS INPUTS'!F15</f>
        <v>1666575.78</v>
      </c>
      <c r="H39" s="443">
        <f>'PS INPUTS'!G15</f>
        <v>2551892.25</v>
      </c>
      <c r="I39" s="443">
        <f>'PS INPUTS'!H15</f>
        <v>1895264.42</v>
      </c>
      <c r="J39" s="443">
        <f>'PS INPUTS'!I15</f>
        <v>1664042.64</v>
      </c>
      <c r="K39" s="340"/>
      <c r="L39" s="340"/>
      <c r="M39" s="340"/>
      <c r="N39" s="340"/>
      <c r="O39" s="340"/>
      <c r="P39" s="341"/>
      <c r="Q39" s="300"/>
      <c r="R39" s="300"/>
      <c r="S39" s="300"/>
      <c r="T39" s="300"/>
      <c r="U39" s="300"/>
      <c r="V39" s="300"/>
      <c r="W39" s="300"/>
      <c r="X39" s="300"/>
      <c r="Y39" s="300"/>
      <c r="Z39" s="300"/>
    </row>
    <row r="40" spans="1:26" s="263" customFormat="1" x14ac:dyDescent="0.2">
      <c r="A40" s="263" t="s">
        <v>105</v>
      </c>
      <c r="D40" s="342">
        <f>SUM(D38:D39)</f>
        <v>982588.26</v>
      </c>
      <c r="E40" s="342">
        <f t="shared" ref="E40:J40" si="6">SUM(E38:E39)</f>
        <v>720481.31</v>
      </c>
      <c r="F40" s="342">
        <f t="shared" si="6"/>
        <v>1494032.28</v>
      </c>
      <c r="G40" s="342">
        <f t="shared" si="6"/>
        <v>2970852.48</v>
      </c>
      <c r="H40" s="342">
        <f t="shared" si="6"/>
        <v>4549025.32</v>
      </c>
      <c r="I40" s="342">
        <f t="shared" si="6"/>
        <v>3378514.84</v>
      </c>
      <c r="J40" s="342">
        <f t="shared" si="6"/>
        <v>2966336.88</v>
      </c>
      <c r="K40" s="342"/>
      <c r="L40" s="342"/>
      <c r="M40" s="342"/>
      <c r="N40" s="342"/>
      <c r="O40" s="342"/>
      <c r="P40" s="301"/>
      <c r="Q40" s="300"/>
      <c r="R40" s="300"/>
      <c r="S40" s="300"/>
      <c r="T40" s="300"/>
      <c r="U40" s="300"/>
      <c r="V40" s="300"/>
      <c r="W40" s="300"/>
      <c r="X40" s="300"/>
      <c r="Y40" s="300"/>
      <c r="Z40" s="300"/>
    </row>
    <row r="41" spans="1:26" s="263" customFormat="1" x14ac:dyDescent="0.2">
      <c r="D41" s="335"/>
      <c r="E41" s="335"/>
      <c r="F41" s="335"/>
      <c r="G41" s="271"/>
      <c r="H41" s="271"/>
      <c r="I41" s="271"/>
      <c r="J41" s="271"/>
      <c r="K41" s="271"/>
      <c r="L41" s="271"/>
      <c r="M41" s="271"/>
      <c r="N41" s="377"/>
      <c r="O41" s="378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</row>
    <row r="42" spans="1:26" s="263" customFormat="1" x14ac:dyDescent="0.2">
      <c r="A42" s="263" t="s">
        <v>136</v>
      </c>
      <c r="D42" s="444">
        <f>'Gas State Recvd$ vs Costs'!D58</f>
        <v>0</v>
      </c>
      <c r="E42" s="444">
        <v>659784.93000000005</v>
      </c>
      <c r="F42" s="444">
        <f>'Gas State Recvd$ vs Costs'!F58</f>
        <v>385958.37</v>
      </c>
      <c r="G42" s="444">
        <f>'Gas State Recvd$ vs Costs'!G58</f>
        <v>781922.71</v>
      </c>
      <c r="H42" s="444">
        <f>'Gas State Recvd$ vs Costs'!H58</f>
        <v>1490575.12</v>
      </c>
      <c r="I42" s="444">
        <f>'Gas State Recvd$ vs Costs'!I58</f>
        <v>2268792.65</v>
      </c>
      <c r="J42" s="444">
        <f>'Gas State Recvd$ vs Costs'!J58</f>
        <v>1625488.32</v>
      </c>
      <c r="K42" s="377"/>
      <c r="L42" s="377"/>
      <c r="M42" s="377"/>
      <c r="N42" s="377"/>
      <c r="O42" s="377"/>
      <c r="P42" s="377"/>
      <c r="Q42" s="300"/>
      <c r="R42" s="300"/>
      <c r="S42" s="300"/>
      <c r="T42" s="300"/>
      <c r="U42" s="300"/>
      <c r="V42" s="300"/>
      <c r="W42" s="300"/>
      <c r="X42" s="300"/>
      <c r="Y42" s="300"/>
      <c r="Z42" s="300"/>
    </row>
    <row r="43" spans="1:26" s="263" customFormat="1" x14ac:dyDescent="0.2"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301"/>
      <c r="O43" s="301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</row>
    <row r="44" spans="1:26" x14ac:dyDescent="0.2">
      <c r="A44" s="197" t="s">
        <v>87</v>
      </c>
      <c r="C44" s="208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35"/>
      <c r="O44" s="235"/>
    </row>
    <row r="45" spans="1:26" x14ac:dyDescent="0.2"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35"/>
      <c r="O45" s="235"/>
    </row>
    <row r="46" spans="1:26" x14ac:dyDescent="0.2">
      <c r="A46" s="176" t="s">
        <v>103</v>
      </c>
      <c r="D46" s="184">
        <v>87088.74</v>
      </c>
      <c r="E46" s="184">
        <v>120807.95</v>
      </c>
      <c r="F46" s="184">
        <v>200081</v>
      </c>
      <c r="G46" s="184">
        <v>354352.14</v>
      </c>
      <c r="H46" s="184">
        <v>263782.34000000003</v>
      </c>
      <c r="I46" s="184">
        <v>231291</v>
      </c>
      <c r="J46" s="184">
        <v>217993</v>
      </c>
      <c r="K46" s="211"/>
      <c r="L46" s="211"/>
      <c r="M46" s="211"/>
      <c r="N46" s="235"/>
      <c r="O46" s="235"/>
    </row>
    <row r="47" spans="1:26" x14ac:dyDescent="0.2">
      <c r="A47" s="176" t="s">
        <v>104</v>
      </c>
      <c r="D47" s="445">
        <v>88694.689999999988</v>
      </c>
      <c r="E47" s="445">
        <v>154340.28</v>
      </c>
      <c r="F47" s="445">
        <v>256395.57</v>
      </c>
      <c r="G47" s="445">
        <v>456386.63</v>
      </c>
      <c r="H47" s="445">
        <v>339653.46</v>
      </c>
      <c r="I47" s="445">
        <v>297715</v>
      </c>
      <c r="J47" s="445">
        <v>280709</v>
      </c>
      <c r="K47" s="211"/>
      <c r="L47" s="211"/>
      <c r="M47" s="211"/>
      <c r="N47" s="317"/>
      <c r="O47" s="317"/>
    </row>
    <row r="48" spans="1:26" x14ac:dyDescent="0.2">
      <c r="A48" s="176" t="s">
        <v>105</v>
      </c>
      <c r="D48" s="318">
        <f>SUM(D46:D47)</f>
        <v>175783.43</v>
      </c>
      <c r="E48" s="318">
        <f t="shared" ref="E48:J48" si="7">SUM(E46:E47)</f>
        <v>275148.23</v>
      </c>
      <c r="F48" s="318">
        <f t="shared" si="7"/>
        <v>456476.57</v>
      </c>
      <c r="G48" s="318">
        <f t="shared" si="7"/>
        <v>810738.77</v>
      </c>
      <c r="H48" s="318">
        <f t="shared" si="7"/>
        <v>603435.80000000005</v>
      </c>
      <c r="I48" s="318">
        <f t="shared" si="7"/>
        <v>529006</v>
      </c>
      <c r="J48" s="318">
        <f t="shared" si="7"/>
        <v>498702</v>
      </c>
      <c r="K48" s="318"/>
      <c r="L48" s="318"/>
      <c r="M48" s="211"/>
      <c r="N48" s="235"/>
      <c r="O48" s="235"/>
    </row>
    <row r="49" spans="1:15" x14ac:dyDescent="0.2">
      <c r="D49" s="182"/>
      <c r="E49" s="182"/>
      <c r="F49" s="182"/>
      <c r="G49" s="182"/>
      <c r="H49" s="182"/>
      <c r="I49" s="182"/>
      <c r="J49" s="228"/>
      <c r="K49" s="211"/>
      <c r="L49" s="211"/>
      <c r="M49" s="211"/>
      <c r="N49" s="177"/>
      <c r="O49" s="177"/>
    </row>
    <row r="50" spans="1:15" x14ac:dyDescent="0.2">
      <c r="A50" s="176" t="s">
        <v>136</v>
      </c>
      <c r="D50" s="211">
        <f>'Gas State Recvd$ vs Costs'!D74</f>
        <v>0</v>
      </c>
      <c r="E50" s="211">
        <f>'Gas State Recvd$ vs Costs'!E74</f>
        <v>58735.29</v>
      </c>
      <c r="F50" s="211">
        <f>'Gas State Recvd$ vs Costs'!F74</f>
        <v>36370.46</v>
      </c>
      <c r="G50" s="211">
        <f>'Gas State Recvd$ vs Costs'!G74</f>
        <v>63890.51</v>
      </c>
      <c r="H50" s="211">
        <f>'Gas State Recvd$ vs Costs'!H74</f>
        <v>127858.26</v>
      </c>
      <c r="I50" s="211">
        <f>'Gas State Recvd$ vs Costs'!I74</f>
        <v>188156.86</v>
      </c>
      <c r="J50" s="211">
        <f>'Gas State Recvd$ vs Costs'!J74</f>
        <v>151983.96</v>
      </c>
      <c r="K50" s="211"/>
      <c r="L50" s="211"/>
      <c r="M50" s="211"/>
      <c r="N50" s="183"/>
      <c r="O50" s="183"/>
    </row>
    <row r="51" spans="1:15" x14ac:dyDescent="0.2"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319"/>
    </row>
    <row r="52" spans="1:15" x14ac:dyDescent="0.2">
      <c r="A52" s="197"/>
      <c r="B52" s="197"/>
      <c r="D52" s="211"/>
      <c r="E52" s="211"/>
      <c r="F52" s="211"/>
      <c r="G52" s="211"/>
      <c r="H52" s="211"/>
      <c r="I52" s="211"/>
      <c r="J52" s="211"/>
      <c r="K52" s="222"/>
      <c r="L52" s="222"/>
      <c r="M52" s="222"/>
      <c r="N52" s="319"/>
    </row>
    <row r="53" spans="1:15" ht="27.75" customHeight="1" x14ac:dyDescent="0.2">
      <c r="A53" s="492"/>
      <c r="B53" s="492"/>
      <c r="C53" s="492"/>
      <c r="D53" s="492"/>
      <c r="E53" s="492"/>
      <c r="F53" s="492"/>
      <c r="G53" s="492"/>
      <c r="H53" s="492"/>
      <c r="I53" s="492"/>
      <c r="J53" s="492"/>
      <c r="K53" s="222"/>
      <c r="L53" s="222"/>
      <c r="M53" s="222"/>
      <c r="N53" s="289"/>
      <c r="O53" s="289"/>
    </row>
    <row r="54" spans="1:15" x14ac:dyDescent="0.2">
      <c r="D54" s="241"/>
      <c r="E54" s="320"/>
      <c r="F54" s="320"/>
      <c r="G54" s="320"/>
      <c r="H54" s="320"/>
      <c r="I54" s="320"/>
      <c r="J54" s="320"/>
      <c r="K54" s="321"/>
      <c r="L54" s="321"/>
      <c r="M54" s="321"/>
      <c r="N54" s="235"/>
      <c r="O54" s="235"/>
    </row>
    <row r="55" spans="1:15" x14ac:dyDescent="0.2">
      <c r="D55" s="211"/>
      <c r="E55" s="211"/>
      <c r="F55" s="211"/>
      <c r="G55" s="211"/>
      <c r="H55" s="211"/>
      <c r="I55" s="211"/>
      <c r="J55" s="211"/>
      <c r="K55" s="222"/>
      <c r="L55" s="222"/>
      <c r="M55" s="222"/>
      <c r="N55" s="234"/>
      <c r="O55" s="234"/>
    </row>
    <row r="56" spans="1:15" x14ac:dyDescent="0.2">
      <c r="D56" s="211"/>
      <c r="E56" s="211"/>
      <c r="F56" s="211"/>
      <c r="G56" s="211"/>
      <c r="H56" s="211"/>
      <c r="I56" s="211"/>
      <c r="J56" s="211"/>
      <c r="K56" s="222"/>
      <c r="L56" s="222"/>
      <c r="M56" s="222"/>
      <c r="N56" s="234"/>
      <c r="O56" s="234"/>
    </row>
    <row r="57" spans="1:15" x14ac:dyDescent="0.2">
      <c r="D57" s="211"/>
      <c r="E57" s="211"/>
      <c r="F57" s="211"/>
      <c r="G57" s="211"/>
      <c r="H57" s="211"/>
      <c r="I57" s="211"/>
      <c r="J57" s="211"/>
      <c r="K57" s="222"/>
      <c r="L57" s="222"/>
      <c r="M57" s="222"/>
      <c r="N57" s="234"/>
      <c r="O57" s="234"/>
    </row>
    <row r="58" spans="1:15" x14ac:dyDescent="0.2">
      <c r="D58" s="211"/>
      <c r="E58" s="211"/>
      <c r="F58" s="211"/>
      <c r="G58" s="211"/>
      <c r="H58" s="211"/>
      <c r="I58" s="211"/>
      <c r="J58" s="211"/>
      <c r="K58" s="222"/>
      <c r="L58" s="222"/>
      <c r="M58" s="222"/>
      <c r="N58" s="235"/>
      <c r="O58" s="235"/>
    </row>
    <row r="59" spans="1:15" x14ac:dyDescent="0.2">
      <c r="D59" s="211"/>
      <c r="E59" s="211"/>
      <c r="F59" s="211"/>
      <c r="G59" s="211"/>
      <c r="H59" s="211"/>
      <c r="I59" s="211"/>
      <c r="J59" s="211"/>
      <c r="K59" s="222"/>
      <c r="L59" s="222"/>
      <c r="M59" s="222"/>
      <c r="N59" s="235"/>
      <c r="O59" s="235"/>
    </row>
    <row r="60" spans="1:15" x14ac:dyDescent="0.2">
      <c r="D60" s="211"/>
      <c r="E60" s="211"/>
      <c r="F60" s="211"/>
      <c r="G60" s="211"/>
      <c r="H60" s="211"/>
      <c r="I60" s="211"/>
      <c r="J60" s="211"/>
      <c r="K60" s="222"/>
      <c r="L60" s="222"/>
      <c r="M60" s="222"/>
      <c r="N60" s="235"/>
      <c r="O60" s="235"/>
    </row>
    <row r="61" spans="1:15" x14ac:dyDescent="0.2">
      <c r="D61" s="235"/>
      <c r="E61" s="235"/>
      <c r="F61" s="235"/>
      <c r="G61" s="235"/>
      <c r="H61" s="235"/>
      <c r="I61" s="235"/>
      <c r="J61" s="235"/>
      <c r="K61" s="222"/>
      <c r="L61" s="222"/>
      <c r="M61" s="222"/>
      <c r="N61" s="235"/>
      <c r="O61" s="235"/>
    </row>
    <row r="62" spans="1:15" x14ac:dyDescent="0.2">
      <c r="C62" s="322"/>
      <c r="D62" s="235"/>
      <c r="E62" s="235"/>
      <c r="F62" s="235"/>
      <c r="G62" s="235"/>
      <c r="H62" s="235"/>
      <c r="I62" s="235"/>
      <c r="J62" s="235"/>
      <c r="K62" s="222"/>
      <c r="L62" s="222"/>
      <c r="M62" s="222"/>
      <c r="N62" s="235"/>
      <c r="O62" s="235"/>
    </row>
    <row r="63" spans="1:15" x14ac:dyDescent="0.2">
      <c r="C63" s="322"/>
      <c r="D63" s="241"/>
      <c r="E63" s="241"/>
      <c r="F63" s="241"/>
      <c r="G63" s="241"/>
      <c r="H63" s="241"/>
      <c r="I63" s="241"/>
      <c r="J63" s="241"/>
      <c r="K63" s="230"/>
      <c r="L63" s="230"/>
      <c r="M63" s="230"/>
      <c r="N63" s="241"/>
      <c r="O63" s="241"/>
    </row>
    <row r="64" spans="1:15" x14ac:dyDescent="0.2">
      <c r="B64" s="323"/>
      <c r="C64" s="324"/>
      <c r="D64" s="235"/>
      <c r="E64" s="235"/>
      <c r="F64" s="235"/>
      <c r="G64" s="235"/>
      <c r="H64" s="235"/>
      <c r="I64" s="235"/>
      <c r="J64" s="235"/>
      <c r="K64" s="222"/>
      <c r="L64" s="222"/>
      <c r="M64" s="222"/>
      <c r="N64" s="235"/>
      <c r="O64" s="235"/>
    </row>
    <row r="65" spans="1:15" x14ac:dyDescent="0.2">
      <c r="B65" s="323"/>
      <c r="C65" s="324"/>
      <c r="D65" s="235"/>
      <c r="E65" s="235"/>
      <c r="F65" s="235"/>
      <c r="G65" s="235"/>
      <c r="H65" s="235"/>
      <c r="I65" s="235"/>
      <c r="J65" s="235"/>
      <c r="K65" s="325"/>
      <c r="L65" s="325"/>
      <c r="M65" s="325"/>
      <c r="N65" s="235"/>
      <c r="O65" s="235"/>
    </row>
    <row r="66" spans="1:15" x14ac:dyDescent="0.2">
      <c r="D66" s="235"/>
      <c r="E66" s="235"/>
      <c r="F66" s="235"/>
      <c r="G66" s="235"/>
      <c r="H66" s="235"/>
      <c r="I66" s="235"/>
      <c r="J66" s="235"/>
      <c r="K66" s="222"/>
      <c r="L66" s="222"/>
      <c r="M66" s="222"/>
      <c r="N66" s="235"/>
      <c r="O66" s="235"/>
    </row>
    <row r="67" spans="1:15" x14ac:dyDescent="0.2">
      <c r="D67" s="235"/>
      <c r="E67" s="235"/>
      <c r="F67" s="235"/>
      <c r="G67" s="235"/>
      <c r="H67" s="235"/>
      <c r="I67" s="235"/>
      <c r="J67" s="235"/>
      <c r="K67" s="222"/>
      <c r="L67" s="222"/>
      <c r="M67" s="222"/>
      <c r="N67" s="319"/>
    </row>
    <row r="68" spans="1:15" x14ac:dyDescent="0.2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326"/>
      <c r="L68" s="326"/>
      <c r="M68" s="326"/>
      <c r="N68" s="327"/>
      <c r="O68" s="327"/>
    </row>
    <row r="69" spans="1:15" x14ac:dyDescent="0.2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326"/>
      <c r="L69" s="326"/>
      <c r="M69" s="326"/>
      <c r="N69" s="327"/>
      <c r="O69" s="327"/>
    </row>
    <row r="70" spans="1:15" x14ac:dyDescent="0.2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326"/>
      <c r="L70" s="326"/>
      <c r="M70" s="326"/>
      <c r="N70" s="327"/>
      <c r="O70" s="327"/>
    </row>
    <row r="71" spans="1:15" x14ac:dyDescent="0.2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326"/>
      <c r="L71" s="326"/>
      <c r="M71" s="326"/>
      <c r="N71" s="327"/>
      <c r="O71" s="327"/>
    </row>
    <row r="72" spans="1:15" x14ac:dyDescent="0.2">
      <c r="A72" s="197"/>
      <c r="B72" s="197"/>
      <c r="C72" s="197"/>
      <c r="D72" s="197"/>
      <c r="E72" s="197"/>
      <c r="F72" s="197"/>
      <c r="G72" s="197"/>
      <c r="H72" s="197"/>
      <c r="I72" s="197"/>
      <c r="J72" s="197"/>
      <c r="K72" s="326"/>
      <c r="L72" s="326"/>
      <c r="M72" s="326"/>
      <c r="N72" s="327"/>
      <c r="O72" s="327"/>
    </row>
    <row r="73" spans="1:15" x14ac:dyDescent="0.2">
      <c r="A73" s="197"/>
      <c r="B73" s="197"/>
      <c r="C73" s="197"/>
      <c r="D73" s="197"/>
      <c r="E73" s="197"/>
      <c r="F73" s="197"/>
      <c r="G73" s="197"/>
      <c r="H73" s="197"/>
      <c r="I73" s="197"/>
      <c r="J73" s="197"/>
      <c r="K73" s="326"/>
      <c r="L73" s="326"/>
      <c r="M73" s="326"/>
      <c r="N73" s="327"/>
      <c r="O73" s="327"/>
    </row>
    <row r="74" spans="1:15" x14ac:dyDescent="0.2">
      <c r="A74" s="197"/>
      <c r="B74" s="197"/>
      <c r="C74" s="197"/>
      <c r="D74" s="197"/>
      <c r="E74" s="197"/>
      <c r="F74" s="197"/>
      <c r="G74" s="197"/>
      <c r="H74" s="197"/>
      <c r="I74" s="197"/>
      <c r="J74" s="197"/>
      <c r="K74" s="326"/>
      <c r="L74" s="326"/>
      <c r="M74" s="326"/>
      <c r="N74" s="327"/>
      <c r="O74" s="327"/>
    </row>
    <row r="75" spans="1:15" x14ac:dyDescent="0.2">
      <c r="A75" s="197"/>
      <c r="B75" s="197"/>
      <c r="C75" s="197"/>
      <c r="D75" s="197"/>
      <c r="E75" s="197"/>
      <c r="F75" s="197"/>
      <c r="G75" s="197"/>
      <c r="H75" s="197"/>
      <c r="I75" s="197"/>
      <c r="J75" s="197"/>
      <c r="K75" s="326"/>
      <c r="L75" s="326"/>
      <c r="M75" s="326"/>
      <c r="N75" s="327"/>
      <c r="O75" s="327"/>
    </row>
    <row r="76" spans="1:15" x14ac:dyDescent="0.2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326"/>
      <c r="L76" s="326"/>
      <c r="M76" s="326"/>
      <c r="N76" s="327"/>
      <c r="O76" s="327"/>
    </row>
    <row r="77" spans="1:15" x14ac:dyDescent="0.2">
      <c r="A77" s="197"/>
      <c r="B77" s="197"/>
      <c r="C77" s="197"/>
      <c r="D77" s="197"/>
      <c r="E77" s="197"/>
      <c r="F77" s="197"/>
      <c r="G77" s="197"/>
      <c r="H77" s="197"/>
      <c r="I77" s="197"/>
      <c r="J77" s="197"/>
      <c r="K77" s="326"/>
      <c r="L77" s="326"/>
      <c r="M77" s="326"/>
      <c r="N77" s="327"/>
      <c r="O77" s="327"/>
    </row>
    <row r="78" spans="1:15" x14ac:dyDescent="0.2">
      <c r="A78" s="197"/>
      <c r="B78" s="197"/>
      <c r="C78" s="197"/>
      <c r="D78" s="197"/>
      <c r="E78" s="197"/>
      <c r="F78" s="197"/>
      <c r="G78" s="197"/>
      <c r="H78" s="197"/>
      <c r="I78" s="197"/>
      <c r="J78" s="197"/>
      <c r="K78" s="326"/>
      <c r="L78" s="326"/>
      <c r="M78" s="326"/>
      <c r="N78" s="327"/>
      <c r="O78" s="327"/>
    </row>
    <row r="79" spans="1:15" x14ac:dyDescent="0.2">
      <c r="A79" s="197"/>
      <c r="B79" s="197"/>
      <c r="C79" s="197"/>
      <c r="D79" s="197"/>
      <c r="E79" s="197"/>
      <c r="F79" s="197"/>
      <c r="G79" s="197"/>
      <c r="H79" s="197"/>
      <c r="I79" s="197"/>
      <c r="J79" s="197"/>
      <c r="K79" s="326"/>
      <c r="L79" s="326"/>
      <c r="M79" s="326"/>
      <c r="N79" s="327"/>
      <c r="O79" s="327"/>
    </row>
    <row r="80" spans="1:15" x14ac:dyDescent="0.2">
      <c r="A80" s="197"/>
      <c r="B80" s="197"/>
      <c r="C80" s="197"/>
      <c r="D80" s="197"/>
      <c r="E80" s="197"/>
      <c r="F80" s="197"/>
      <c r="G80" s="197"/>
      <c r="H80" s="197"/>
      <c r="I80" s="197"/>
      <c r="J80" s="197"/>
      <c r="K80" s="326"/>
      <c r="L80" s="326"/>
      <c r="M80" s="326"/>
      <c r="N80" s="327"/>
      <c r="O80" s="327"/>
    </row>
    <row r="81" spans="1:15" x14ac:dyDescent="0.2">
      <c r="A81" s="197"/>
      <c r="B81" s="197"/>
      <c r="C81" s="197"/>
      <c r="D81" s="197"/>
      <c r="E81" s="197"/>
      <c r="F81" s="197"/>
      <c r="G81" s="197"/>
      <c r="H81" s="197"/>
      <c r="I81" s="197"/>
      <c r="J81" s="197"/>
      <c r="K81" s="326"/>
      <c r="L81" s="326"/>
      <c r="M81" s="326"/>
      <c r="N81" s="327"/>
      <c r="O81" s="327"/>
    </row>
    <row r="82" spans="1:15" x14ac:dyDescent="0.2">
      <c r="A82" s="197"/>
      <c r="B82" s="197"/>
      <c r="C82" s="197"/>
      <c r="D82" s="197"/>
      <c r="E82" s="197"/>
      <c r="F82" s="197"/>
      <c r="G82" s="197"/>
      <c r="H82" s="197"/>
      <c r="I82" s="197"/>
      <c r="J82" s="197"/>
      <c r="K82" s="326"/>
      <c r="L82" s="326"/>
      <c r="M82" s="326"/>
      <c r="N82" s="327"/>
      <c r="O82" s="327"/>
    </row>
    <row r="83" spans="1:15" x14ac:dyDescent="0.2">
      <c r="D83" s="235"/>
      <c r="E83" s="235"/>
      <c r="F83" s="235"/>
      <c r="G83" s="235"/>
      <c r="H83" s="235"/>
      <c r="I83" s="235"/>
      <c r="J83" s="235"/>
      <c r="K83" s="201"/>
      <c r="L83" s="201"/>
      <c r="M83" s="201"/>
    </row>
    <row r="84" spans="1:15" x14ac:dyDescent="0.2">
      <c r="C84" s="177"/>
      <c r="D84" s="234"/>
      <c r="E84" s="234"/>
      <c r="F84" s="234"/>
      <c r="G84" s="234"/>
      <c r="H84" s="234"/>
      <c r="I84" s="234"/>
      <c r="J84" s="234"/>
      <c r="K84" s="201"/>
      <c r="L84" s="201"/>
      <c r="M84" s="201"/>
    </row>
    <row r="85" spans="1:15" x14ac:dyDescent="0.2">
      <c r="B85" s="328"/>
      <c r="D85" s="177"/>
      <c r="E85" s="177"/>
      <c r="F85" s="177"/>
      <c r="G85" s="177"/>
      <c r="H85" s="177"/>
      <c r="I85" s="177"/>
      <c r="J85" s="177"/>
      <c r="K85" s="261"/>
      <c r="L85" s="261"/>
      <c r="M85" s="261"/>
    </row>
    <row r="86" spans="1:15" x14ac:dyDescent="0.2">
      <c r="D86" s="177"/>
      <c r="E86" s="177"/>
      <c r="F86" s="177"/>
      <c r="G86" s="177"/>
      <c r="H86" s="177"/>
      <c r="I86" s="177"/>
      <c r="J86" s="177"/>
      <c r="K86" s="261"/>
      <c r="L86" s="261"/>
      <c r="M86" s="261"/>
    </row>
    <row r="87" spans="1:15" x14ac:dyDescent="0.2">
      <c r="B87" s="185"/>
      <c r="C87" s="185"/>
      <c r="D87" s="177"/>
      <c r="E87" s="177"/>
      <c r="F87" s="177"/>
      <c r="G87" s="177"/>
      <c r="H87" s="177"/>
      <c r="I87" s="177"/>
      <c r="J87" s="177"/>
      <c r="K87" s="261"/>
      <c r="L87" s="261"/>
      <c r="M87" s="261"/>
    </row>
    <row r="88" spans="1:15" x14ac:dyDescent="0.2">
      <c r="B88" s="185"/>
      <c r="C88" s="185"/>
      <c r="D88" s="329"/>
      <c r="E88" s="329"/>
      <c r="F88" s="329"/>
      <c r="G88" s="329"/>
      <c r="H88" s="329"/>
      <c r="I88" s="329"/>
      <c r="J88" s="329"/>
      <c r="K88" s="330"/>
      <c r="L88" s="330"/>
      <c r="M88" s="330"/>
    </row>
    <row r="89" spans="1:15" x14ac:dyDescent="0.2">
      <c r="A89" s="249"/>
      <c r="B89" s="249"/>
      <c r="D89" s="329"/>
      <c r="E89" s="329"/>
      <c r="F89" s="329"/>
      <c r="G89" s="329"/>
      <c r="H89" s="329"/>
      <c r="I89" s="329"/>
      <c r="J89" s="329"/>
      <c r="K89" s="330"/>
      <c r="L89" s="330"/>
      <c r="M89" s="330"/>
    </row>
    <row r="90" spans="1:15" x14ac:dyDescent="0.2">
      <c r="A90" s="249"/>
      <c r="B90" s="249"/>
      <c r="D90" s="331"/>
      <c r="E90" s="331"/>
      <c r="F90" s="331"/>
      <c r="G90" s="331"/>
      <c r="H90" s="331"/>
      <c r="I90" s="331"/>
      <c r="J90" s="331"/>
      <c r="K90" s="332"/>
      <c r="L90" s="332"/>
      <c r="M90" s="332"/>
    </row>
    <row r="91" spans="1:15" x14ac:dyDescent="0.2">
      <c r="D91" s="178"/>
      <c r="E91" s="178"/>
      <c r="F91" s="178"/>
      <c r="G91" s="178"/>
      <c r="H91" s="178"/>
      <c r="I91" s="178"/>
      <c r="J91" s="178"/>
      <c r="K91" s="260"/>
      <c r="L91" s="260"/>
      <c r="M91" s="260"/>
    </row>
    <row r="92" spans="1:15" x14ac:dyDescent="0.2">
      <c r="D92" s="178"/>
      <c r="E92" s="178"/>
      <c r="F92" s="178"/>
      <c r="G92" s="178"/>
      <c r="H92" s="178"/>
      <c r="I92" s="178"/>
      <c r="J92" s="178"/>
      <c r="K92" s="260"/>
      <c r="L92" s="260"/>
      <c r="M92" s="260"/>
    </row>
    <row r="93" spans="1:15" x14ac:dyDescent="0.2">
      <c r="D93" s="178"/>
      <c r="E93" s="178"/>
      <c r="F93" s="178"/>
      <c r="G93" s="178"/>
      <c r="H93" s="178"/>
      <c r="I93" s="178"/>
      <c r="J93" s="178"/>
      <c r="K93" s="260"/>
      <c r="L93" s="260"/>
      <c r="M93" s="260"/>
    </row>
    <row r="94" spans="1:15" x14ac:dyDescent="0.2">
      <c r="D94" s="178"/>
      <c r="E94" s="178"/>
      <c r="F94" s="178"/>
      <c r="G94" s="178"/>
      <c r="H94" s="178"/>
      <c r="I94" s="178"/>
      <c r="J94" s="178"/>
      <c r="K94" s="260"/>
      <c r="L94" s="260"/>
      <c r="M94" s="260"/>
    </row>
    <row r="97" spans="3:13" x14ac:dyDescent="0.2">
      <c r="C97" s="178"/>
      <c r="D97" s="329"/>
      <c r="E97" s="329"/>
      <c r="F97" s="329"/>
      <c r="G97" s="333"/>
      <c r="H97" s="333"/>
      <c r="I97" s="333"/>
      <c r="J97" s="333"/>
      <c r="K97" s="334"/>
      <c r="L97" s="334"/>
      <c r="M97" s="334"/>
    </row>
    <row r="98" spans="3:13" x14ac:dyDescent="0.2">
      <c r="C98" s="178"/>
      <c r="D98" s="177"/>
      <c r="E98" s="177"/>
      <c r="F98" s="177"/>
      <c r="G98" s="193"/>
      <c r="H98" s="193"/>
      <c r="I98" s="193"/>
      <c r="J98" s="193"/>
      <c r="K98" s="251"/>
      <c r="L98" s="251"/>
      <c r="M98" s="251"/>
    </row>
  </sheetData>
  <sheetProtection formatCells="0" formatColumns="0" formatRows="0" insertColumns="0" insertRows="0" insertHyperlinks="0" deleteColumns="0" deleteRows="0" sort="0" autoFilter="0" pivotTables="0"/>
  <mergeCells count="1">
    <mergeCell ref="A53:J53"/>
  </mergeCells>
  <phoneticPr fontId="13" type="noConversion"/>
  <pageMargins left="0.75" right="0.75" top="1" bottom="1" header="0.5" footer="0.5"/>
  <pageSetup paperSize="5" scale="65" orientation="landscape" r:id="rId1"/>
  <headerFooter alignWithMargins="0">
    <oddFooter>&amp;R&amp;F
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179"/>
  <sheetViews>
    <sheetView view="pageBreakPreview" zoomScaleNormal="100" zoomScaleSheetLayoutView="100" workbookViewId="0">
      <selection activeCell="F34" sqref="F34"/>
    </sheetView>
  </sheetViews>
  <sheetFormatPr defaultRowHeight="12.75" x14ac:dyDescent="0.2"/>
  <cols>
    <col min="1" max="2" width="9.140625" style="176"/>
    <col min="3" max="3" width="15.42578125" style="176" customWidth="1"/>
    <col min="4" max="4" width="14.28515625" style="176" customWidth="1"/>
    <col min="5" max="5" width="14.5703125" style="176" customWidth="1"/>
    <col min="6" max="6" width="13.42578125" style="176" customWidth="1"/>
    <col min="7" max="7" width="14.5703125" style="176" customWidth="1"/>
    <col min="8" max="9" width="13.42578125" style="176" customWidth="1"/>
    <col min="10" max="10" width="13.7109375" style="176" bestFit="1" customWidth="1"/>
    <col min="11" max="11" width="12.7109375" style="176" customWidth="1"/>
    <col min="12" max="12" width="14.42578125" style="176" customWidth="1"/>
    <col min="13" max="13" width="13.28515625" style="176" customWidth="1"/>
    <col min="14" max="14" width="19" style="176" customWidth="1"/>
    <col min="15" max="15" width="13.7109375" style="176" customWidth="1"/>
    <col min="16" max="16" width="14.140625" style="176" customWidth="1"/>
    <col min="17" max="17" width="11.5703125" style="178" customWidth="1"/>
    <col min="18" max="18" width="13.28515625" style="178" customWidth="1"/>
    <col min="19" max="20" width="9.140625" style="176"/>
    <col min="21" max="21" width="11.7109375" style="176" bestFit="1" customWidth="1"/>
    <col min="22" max="22" width="13.5703125" style="176" customWidth="1"/>
    <col min="23" max="16384" width="9.140625" style="176"/>
  </cols>
  <sheetData>
    <row r="1" spans="1:19" x14ac:dyDescent="0.2">
      <c r="A1" s="282" t="s">
        <v>108</v>
      </c>
      <c r="B1" s="282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Q1" s="177"/>
      <c r="S1" s="178"/>
    </row>
    <row r="2" spans="1:19" x14ac:dyDescent="0.2">
      <c r="A2" s="181"/>
      <c r="B2" s="181"/>
      <c r="C2" s="181"/>
      <c r="D2" s="244"/>
      <c r="E2" s="244"/>
      <c r="F2" s="244"/>
      <c r="G2" s="244"/>
      <c r="H2" s="244"/>
      <c r="I2" s="244"/>
      <c r="J2" s="244"/>
      <c r="K2" s="243"/>
      <c r="L2" s="177"/>
      <c r="M2" s="177"/>
      <c r="N2" s="177"/>
      <c r="O2" s="178"/>
      <c r="P2" s="178"/>
      <c r="Q2" s="177"/>
      <c r="S2" s="178"/>
    </row>
    <row r="3" spans="1:19" x14ac:dyDescent="0.2">
      <c r="A3" s="283"/>
      <c r="B3" s="283"/>
      <c r="C3" s="284"/>
      <c r="D3" s="283" t="str">
        <f>'PS INPUTS'!C3</f>
        <v>October</v>
      </c>
      <c r="E3" s="283" t="str">
        <f>'PS INPUTS'!D3</f>
        <v>November</v>
      </c>
      <c r="F3" s="283" t="str">
        <f>'PS INPUTS'!E3</f>
        <v>December</v>
      </c>
      <c r="G3" s="283" t="str">
        <f>'PS INPUTS'!F3</f>
        <v>January</v>
      </c>
      <c r="H3" s="283" t="str">
        <f>'PS INPUTS'!G3</f>
        <v>February</v>
      </c>
      <c r="I3" s="283" t="str">
        <f>'PS INPUTS'!H3</f>
        <v>March</v>
      </c>
      <c r="J3" s="283" t="str">
        <f>'PS INPUTS'!I3</f>
        <v xml:space="preserve">April </v>
      </c>
      <c r="K3" s="285"/>
      <c r="L3" s="285"/>
      <c r="M3" s="285"/>
      <c r="N3" s="285"/>
      <c r="O3" s="285"/>
      <c r="P3" s="285"/>
      <c r="Q3" s="285"/>
      <c r="R3" s="285"/>
      <c r="S3" s="178"/>
    </row>
    <row r="4" spans="1:19" x14ac:dyDescent="0.2">
      <c r="A4" s="283"/>
      <c r="B4" s="283"/>
      <c r="C4" s="284"/>
      <c r="D4" s="283">
        <f>'PS INPUTS'!C4</f>
        <v>2017</v>
      </c>
      <c r="E4" s="283">
        <f>'PS INPUTS'!D4</f>
        <v>2017</v>
      </c>
      <c r="F4" s="283">
        <f>'PS INPUTS'!E4</f>
        <v>2017</v>
      </c>
      <c r="G4" s="283">
        <f>'PS INPUTS'!F4</f>
        <v>2018</v>
      </c>
      <c r="H4" s="283">
        <f>'PS INPUTS'!G4</f>
        <v>2018</v>
      </c>
      <c r="I4" s="283">
        <f>'PS INPUTS'!H4</f>
        <v>2018</v>
      </c>
      <c r="J4" s="283">
        <f>'PS INPUTS'!I4</f>
        <v>2018</v>
      </c>
      <c r="K4" s="285"/>
      <c r="L4" s="285"/>
      <c r="M4" s="285"/>
      <c r="N4" s="285"/>
      <c r="O4" s="285"/>
      <c r="P4" s="285"/>
      <c r="Q4" s="285"/>
      <c r="R4" s="285"/>
      <c r="S4" s="178"/>
    </row>
    <row r="5" spans="1:19" x14ac:dyDescent="0.2">
      <c r="A5" s="283"/>
      <c r="B5" s="283"/>
      <c r="C5" s="284"/>
      <c r="D5" s="283" t="str">
        <f>'PS INPUTS'!C5</f>
        <v>actual</v>
      </c>
      <c r="E5" s="283" t="str">
        <f>'PS INPUTS'!D5</f>
        <v>actual</v>
      </c>
      <c r="F5" s="283" t="str">
        <f>'PS INPUTS'!E5</f>
        <v>actual</v>
      </c>
      <c r="G5" s="283" t="str">
        <f>'PS INPUTS'!F5</f>
        <v>actual</v>
      </c>
      <c r="H5" s="283" t="str">
        <f>'PS INPUTS'!G5</f>
        <v>actual</v>
      </c>
      <c r="I5" s="283" t="str">
        <f>'PS INPUTS'!H5</f>
        <v>actual</v>
      </c>
      <c r="J5" s="283" t="str">
        <f>'PS INPUTS'!I5</f>
        <v>actual</v>
      </c>
      <c r="K5" s="285"/>
      <c r="L5" s="285"/>
      <c r="M5" s="285"/>
      <c r="N5" s="285"/>
      <c r="O5" s="285"/>
      <c r="P5" s="285"/>
      <c r="Q5" s="285"/>
      <c r="R5" s="285"/>
      <c r="S5" s="178"/>
    </row>
    <row r="6" spans="1:19" x14ac:dyDescent="0.2">
      <c r="A6" s="223"/>
      <c r="B6" s="283"/>
      <c r="C6" s="283"/>
      <c r="D6" s="286"/>
      <c r="E6" s="286"/>
      <c r="F6" s="286"/>
      <c r="G6" s="286"/>
      <c r="H6" s="286"/>
      <c r="I6" s="286"/>
      <c r="J6" s="286"/>
      <c r="K6" s="178"/>
      <c r="L6" s="178"/>
      <c r="M6" s="173"/>
      <c r="N6" s="173"/>
      <c r="O6" s="287"/>
      <c r="P6" s="287"/>
      <c r="Q6" s="287"/>
      <c r="R6" s="287"/>
      <c r="S6" s="178"/>
    </row>
    <row r="7" spans="1:19" x14ac:dyDescent="0.2">
      <c r="A7" s="223"/>
      <c r="B7" s="223"/>
      <c r="C7" s="223"/>
      <c r="D7" s="225"/>
      <c r="E7" s="225"/>
      <c r="F7" s="225"/>
      <c r="G7" s="225"/>
      <c r="H7" s="225"/>
      <c r="I7" s="225"/>
      <c r="J7" s="225"/>
      <c r="K7" s="178"/>
      <c r="L7" s="178"/>
      <c r="M7" s="235"/>
      <c r="N7" s="235"/>
      <c r="O7" s="222"/>
      <c r="P7" s="222"/>
      <c r="Q7" s="222"/>
      <c r="R7" s="222"/>
      <c r="S7" s="178"/>
    </row>
    <row r="8" spans="1:19" s="263" customFormat="1" x14ac:dyDescent="0.2">
      <c r="A8" s="297" t="s">
        <v>102</v>
      </c>
      <c r="B8" s="298"/>
      <c r="C8" s="298" t="s">
        <v>5</v>
      </c>
      <c r="D8" s="299"/>
      <c r="E8" s="299"/>
      <c r="F8" s="299"/>
      <c r="G8" s="299"/>
      <c r="H8" s="299"/>
      <c r="I8" s="299"/>
      <c r="J8" s="299"/>
      <c r="K8" s="300"/>
      <c r="L8" s="300"/>
      <c r="M8" s="301"/>
      <c r="N8" s="301"/>
      <c r="O8" s="302"/>
      <c r="P8" s="302"/>
      <c r="Q8" s="302"/>
      <c r="R8" s="302"/>
      <c r="S8" s="300"/>
    </row>
    <row r="9" spans="1:19" s="263" customFormat="1" x14ac:dyDescent="0.2">
      <c r="A9" s="298"/>
      <c r="B9" s="298"/>
      <c r="C9" s="298"/>
      <c r="D9" s="299"/>
      <c r="E9" s="299"/>
      <c r="F9" s="299"/>
      <c r="G9" s="299"/>
      <c r="H9" s="299"/>
      <c r="I9" s="299"/>
      <c r="J9" s="299"/>
      <c r="K9" s="300"/>
      <c r="L9" s="300"/>
      <c r="M9" s="301"/>
      <c r="N9" s="301"/>
      <c r="O9" s="302"/>
      <c r="P9" s="302"/>
      <c r="Q9" s="302"/>
      <c r="R9" s="302"/>
      <c r="S9" s="300"/>
    </row>
    <row r="10" spans="1:19" s="263" customFormat="1" x14ac:dyDescent="0.2">
      <c r="A10" s="298" t="s">
        <v>103</v>
      </c>
      <c r="B10" s="298"/>
      <c r="C10" s="298"/>
      <c r="D10" s="299">
        <f>D21+D29+D37+D45</f>
        <v>11174252.1</v>
      </c>
      <c r="E10" s="299">
        <f t="shared" ref="E10:J10" si="0">E21+E29+E37+E45</f>
        <v>7942366.4500000002</v>
      </c>
      <c r="F10" s="299">
        <f t="shared" si="0"/>
        <v>7391012.6299999999</v>
      </c>
      <c r="G10" s="299">
        <f t="shared" si="0"/>
        <v>7593208.2899999991</v>
      </c>
      <c r="H10" s="299">
        <f t="shared" si="0"/>
        <v>9774887.1400000006</v>
      </c>
      <c r="I10" s="299">
        <f t="shared" si="0"/>
        <v>7864538.4399999995</v>
      </c>
      <c r="J10" s="299">
        <f t="shared" si="0"/>
        <v>7460047.9899999993</v>
      </c>
      <c r="K10" s="302"/>
      <c r="L10" s="302"/>
      <c r="M10" s="302"/>
      <c r="N10" s="302"/>
      <c r="O10" s="302"/>
      <c r="P10" s="302"/>
      <c r="Q10" s="302"/>
      <c r="R10" s="302"/>
      <c r="S10" s="300"/>
    </row>
    <row r="11" spans="1:19" s="263" customFormat="1" x14ac:dyDescent="0.2">
      <c r="A11" s="298" t="s">
        <v>104</v>
      </c>
      <c r="B11" s="298"/>
      <c r="C11" s="298"/>
      <c r="D11" s="303">
        <f>D22+D30+D38+D46</f>
        <v>4508306.8099999996</v>
      </c>
      <c r="E11" s="303">
        <f t="shared" ref="E11:J11" si="1">E22+E30+E38+E46</f>
        <v>4033170.84</v>
      </c>
      <c r="F11" s="303">
        <f t="shared" si="1"/>
        <v>3862085.6999999997</v>
      </c>
      <c r="G11" s="303">
        <f t="shared" si="1"/>
        <v>3967255.6599999997</v>
      </c>
      <c r="H11" s="303">
        <f>H22+H30+H38+H46</f>
        <v>5092678.75</v>
      </c>
      <c r="I11" s="303">
        <f t="shared" si="1"/>
        <v>4111526.33</v>
      </c>
      <c r="J11" s="303">
        <f t="shared" si="1"/>
        <v>3897682.03</v>
      </c>
      <c r="K11" s="302"/>
      <c r="L11" s="302"/>
      <c r="M11" s="302"/>
      <c r="N11" s="302"/>
      <c r="O11" s="302"/>
      <c r="P11" s="302"/>
      <c r="Q11" s="302"/>
      <c r="R11" s="302"/>
      <c r="S11" s="300"/>
    </row>
    <row r="12" spans="1:19" s="263" customFormat="1" x14ac:dyDescent="0.2">
      <c r="A12" s="298" t="s">
        <v>105</v>
      </c>
      <c r="B12" s="298"/>
      <c r="C12" s="298"/>
      <c r="D12" s="302">
        <f t="shared" ref="D12:J12" si="2">SUM(D8:D11)</f>
        <v>15682558.91</v>
      </c>
      <c r="E12" s="302">
        <f t="shared" si="2"/>
        <v>11975537.289999999</v>
      </c>
      <c r="F12" s="302">
        <f t="shared" si="2"/>
        <v>11253098.33</v>
      </c>
      <c r="G12" s="302">
        <f t="shared" si="2"/>
        <v>11560463.949999999</v>
      </c>
      <c r="H12" s="302">
        <f t="shared" si="2"/>
        <v>14867565.890000001</v>
      </c>
      <c r="I12" s="302">
        <f t="shared" si="2"/>
        <v>11976064.77</v>
      </c>
      <c r="J12" s="302">
        <f t="shared" si="2"/>
        <v>11357730.02</v>
      </c>
      <c r="K12" s="302"/>
      <c r="L12" s="302"/>
      <c r="M12" s="302"/>
      <c r="N12" s="302"/>
      <c r="O12" s="302"/>
      <c r="P12" s="302"/>
      <c r="Q12" s="302"/>
      <c r="R12" s="302"/>
      <c r="S12" s="300"/>
    </row>
    <row r="13" spans="1:19" s="263" customFormat="1" x14ac:dyDescent="0.2">
      <c r="A13" s="298"/>
      <c r="B13" s="298"/>
      <c r="C13" s="298"/>
      <c r="D13" s="299"/>
      <c r="E13" s="299"/>
      <c r="F13" s="299"/>
      <c r="G13" s="299"/>
      <c r="H13" s="299"/>
      <c r="I13" s="299"/>
      <c r="J13" s="299"/>
      <c r="K13" s="302"/>
      <c r="L13" s="302"/>
      <c r="M13" s="302"/>
      <c r="N13" s="302"/>
      <c r="O13" s="302"/>
      <c r="P13" s="302"/>
      <c r="Q13" s="302"/>
      <c r="R13" s="302"/>
      <c r="S13" s="300"/>
    </row>
    <row r="14" spans="1:19" s="263" customFormat="1" x14ac:dyDescent="0.2">
      <c r="A14" s="298" t="s">
        <v>136</v>
      </c>
      <c r="B14" s="298"/>
      <c r="C14" s="298"/>
      <c r="D14" s="302">
        <f>D25+D33+D41+D49</f>
        <v>-3.9563019527122378E-11</v>
      </c>
      <c r="E14" s="302">
        <f t="shared" ref="E14:J14" si="3">E25+E33+E41+E49</f>
        <v>10305601.189999999</v>
      </c>
      <c r="F14" s="302">
        <f t="shared" si="3"/>
        <v>7490412.9800000004</v>
      </c>
      <c r="G14" s="302">
        <f t="shared" si="3"/>
        <v>10855198.310000001</v>
      </c>
      <c r="H14" s="302">
        <f t="shared" si="3"/>
        <v>8979382.7699999996</v>
      </c>
      <c r="I14" s="302">
        <f t="shared" si="3"/>
        <v>9163812.1699999999</v>
      </c>
      <c r="J14" s="302">
        <f t="shared" si="3"/>
        <v>8219874.2299999995</v>
      </c>
      <c r="K14" s="302"/>
      <c r="L14" s="302"/>
      <c r="M14" s="302"/>
      <c r="N14" s="302"/>
      <c r="O14" s="302"/>
      <c r="P14" s="302"/>
      <c r="Q14" s="302"/>
      <c r="R14" s="302"/>
      <c r="S14" s="300"/>
    </row>
    <row r="15" spans="1:19" s="263" customFormat="1" x14ac:dyDescent="0.2">
      <c r="A15" s="298"/>
      <c r="B15" s="298"/>
      <c r="C15" s="298"/>
      <c r="D15" s="304"/>
      <c r="E15" s="299"/>
      <c r="F15" s="299"/>
      <c r="G15" s="299"/>
      <c r="H15" s="299"/>
      <c r="I15" s="299"/>
      <c r="J15" s="299"/>
      <c r="K15" s="302"/>
      <c r="L15" s="302"/>
      <c r="M15" s="302"/>
      <c r="N15" s="301"/>
      <c r="O15" s="302"/>
      <c r="P15" s="302"/>
      <c r="Q15" s="302"/>
      <c r="R15" s="302"/>
      <c r="S15" s="300"/>
    </row>
    <row r="16" spans="1:19" s="263" customFormat="1" x14ac:dyDescent="0.2">
      <c r="A16" s="298"/>
      <c r="B16" s="298"/>
      <c r="C16" s="298"/>
      <c r="D16" s="299"/>
      <c r="E16" s="299"/>
      <c r="F16" s="299"/>
      <c r="G16" s="299"/>
      <c r="H16" s="299"/>
      <c r="I16" s="299"/>
      <c r="J16" s="299"/>
      <c r="K16" s="302"/>
      <c r="L16" s="302"/>
      <c r="M16" s="302"/>
      <c r="N16" s="305"/>
      <c r="O16" s="302"/>
      <c r="P16" s="302"/>
      <c r="Q16" s="302"/>
      <c r="R16" s="302"/>
      <c r="S16" s="300"/>
    </row>
    <row r="17" spans="1:19" s="263" customFormat="1" x14ac:dyDescent="0.2">
      <c r="A17" s="298" t="s">
        <v>31</v>
      </c>
      <c r="B17" s="298"/>
      <c r="C17" s="298"/>
      <c r="D17" s="298"/>
      <c r="E17" s="306"/>
      <c r="F17" s="298"/>
      <c r="G17" s="306"/>
      <c r="H17" s="299"/>
      <c r="I17" s="299"/>
      <c r="J17" s="299"/>
      <c r="K17" s="302"/>
      <c r="L17" s="302"/>
      <c r="M17" s="302"/>
      <c r="N17" s="301"/>
      <c r="O17" s="302"/>
      <c r="P17" s="302"/>
      <c r="Q17" s="302"/>
      <c r="R17" s="302"/>
      <c r="S17" s="300"/>
    </row>
    <row r="18" spans="1:19" s="263" customFormat="1" x14ac:dyDescent="0.2">
      <c r="A18" s="298"/>
      <c r="B18" s="298"/>
      <c r="C18" s="298"/>
      <c r="D18" s="299"/>
      <c r="E18" s="299"/>
      <c r="F18" s="299"/>
      <c r="G18" s="299"/>
      <c r="H18" s="299"/>
      <c r="I18" s="299"/>
      <c r="J18" s="299"/>
      <c r="K18" s="302"/>
      <c r="L18" s="302"/>
      <c r="M18" s="302"/>
      <c r="N18" s="301"/>
      <c r="O18" s="302"/>
      <c r="P18" s="302"/>
      <c r="Q18" s="302"/>
      <c r="R18" s="302"/>
      <c r="S18" s="300"/>
    </row>
    <row r="19" spans="1:19" s="263" customFormat="1" x14ac:dyDescent="0.2">
      <c r="A19" s="307" t="s">
        <v>37</v>
      </c>
      <c r="B19" s="307"/>
      <c r="C19" s="264"/>
      <c r="D19" s="267"/>
      <c r="E19" s="267"/>
      <c r="F19" s="267"/>
      <c r="G19" s="267"/>
      <c r="H19" s="267"/>
      <c r="I19" s="267"/>
      <c r="J19" s="267"/>
      <c r="K19" s="270"/>
      <c r="L19" s="270"/>
      <c r="M19" s="270"/>
      <c r="N19" s="301"/>
      <c r="O19" s="270"/>
      <c r="P19" s="270"/>
      <c r="Q19" s="270"/>
      <c r="R19" s="270"/>
      <c r="S19" s="300"/>
    </row>
    <row r="20" spans="1:19" s="263" customFormat="1" x14ac:dyDescent="0.2">
      <c r="A20" s="264"/>
      <c r="B20" s="264"/>
      <c r="C20" s="264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5"/>
      <c r="O20" s="270"/>
      <c r="P20" s="270"/>
      <c r="Q20" s="270"/>
      <c r="R20" s="270"/>
      <c r="S20" s="300"/>
    </row>
    <row r="21" spans="1:19" s="263" customFormat="1" x14ac:dyDescent="0.2">
      <c r="A21" s="264" t="s">
        <v>103</v>
      </c>
      <c r="B21" s="264"/>
      <c r="C21" s="264"/>
      <c r="D21" s="308">
        <f>'PS INPUTS'!C9</f>
        <v>6589685.3700000001</v>
      </c>
      <c r="E21" s="308">
        <f>'PS INPUTS'!D9</f>
        <v>4591335.0199999996</v>
      </c>
      <c r="F21" s="308">
        <f>'PS INPUTS'!E9</f>
        <v>4158976.9</v>
      </c>
      <c r="G21" s="308">
        <f>'PS INPUTS'!F9</f>
        <v>4735055.47</v>
      </c>
      <c r="H21" s="308">
        <f>'PS INPUTS'!G9</f>
        <v>5144152.38</v>
      </c>
      <c r="I21" s="308">
        <f>'PS INPUTS'!H9</f>
        <v>4640024.79</v>
      </c>
      <c r="J21" s="308">
        <f>'PS INPUTS'!I9</f>
        <v>4321925.38</v>
      </c>
      <c r="K21" s="308"/>
      <c r="L21" s="308"/>
      <c r="M21" s="308"/>
      <c r="N21" s="308"/>
      <c r="O21" s="308"/>
      <c r="P21" s="270"/>
      <c r="Q21" s="270"/>
      <c r="R21" s="270"/>
      <c r="S21" s="300"/>
    </row>
    <row r="22" spans="1:19" s="263" customFormat="1" x14ac:dyDescent="0.2">
      <c r="A22" s="264" t="s">
        <v>104</v>
      </c>
      <c r="B22" s="264"/>
      <c r="C22" s="264"/>
      <c r="D22" s="446">
        <f>'PS INPUTS'!C10</f>
        <v>2572879.2999999998</v>
      </c>
      <c r="E22" s="446">
        <f>'PS INPUTS'!D10</f>
        <v>2399640.9500000002</v>
      </c>
      <c r="F22" s="446">
        <f>'PS INPUTS'!E10</f>
        <v>2173670.89</v>
      </c>
      <c r="G22" s="446">
        <f>'PS INPUTS'!F10</f>
        <v>2474755.81</v>
      </c>
      <c r="H22" s="446">
        <f>'PS INPUTS'!G10</f>
        <v>2688568.5</v>
      </c>
      <c r="I22" s="446">
        <f>'PS INPUTS'!H10</f>
        <v>2425088.44</v>
      </c>
      <c r="J22" s="446">
        <f>'PS INPUTS'!I10</f>
        <v>2258835.19</v>
      </c>
      <c r="K22" s="308"/>
      <c r="L22" s="308"/>
      <c r="M22" s="308"/>
      <c r="N22" s="308"/>
      <c r="O22" s="308"/>
      <c r="P22" s="270"/>
      <c r="Q22" s="270"/>
      <c r="R22" s="270"/>
      <c r="S22" s="300"/>
    </row>
    <row r="23" spans="1:19" s="263" customFormat="1" x14ac:dyDescent="0.2">
      <c r="A23" s="264" t="s">
        <v>105</v>
      </c>
      <c r="B23" s="264"/>
      <c r="C23" s="264"/>
      <c r="D23" s="271">
        <f>SUM(D21:D22)</f>
        <v>9162564.6699999999</v>
      </c>
      <c r="E23" s="271">
        <f t="shared" ref="E23:J23" si="4">SUM(E21:E22)</f>
        <v>6990975.9699999997</v>
      </c>
      <c r="F23" s="271">
        <f t="shared" si="4"/>
        <v>6332647.79</v>
      </c>
      <c r="G23" s="271">
        <f t="shared" si="4"/>
        <v>7209811.2799999993</v>
      </c>
      <c r="H23" s="271">
        <f t="shared" si="4"/>
        <v>7832720.8799999999</v>
      </c>
      <c r="I23" s="271">
        <f t="shared" si="4"/>
        <v>7065113.2300000004</v>
      </c>
      <c r="J23" s="271">
        <f t="shared" si="4"/>
        <v>6580760.5700000003</v>
      </c>
      <c r="K23" s="271"/>
      <c r="L23" s="271"/>
      <c r="M23" s="271"/>
      <c r="N23" s="271"/>
      <c r="O23" s="271"/>
      <c r="P23" s="310"/>
      <c r="Q23" s="270"/>
      <c r="R23" s="270"/>
      <c r="S23" s="300"/>
    </row>
    <row r="24" spans="1:19" s="263" customFormat="1" x14ac:dyDescent="0.2">
      <c r="A24" s="264"/>
      <c r="B24" s="264"/>
      <c r="C24" s="264"/>
      <c r="D24" s="267"/>
      <c r="E24" s="267"/>
      <c r="F24" s="267"/>
      <c r="G24" s="267"/>
      <c r="H24" s="267"/>
      <c r="I24" s="267"/>
      <c r="J24" s="267"/>
      <c r="K24" s="270"/>
      <c r="L24" s="270"/>
      <c r="M24" s="270"/>
      <c r="N24" s="270"/>
      <c r="O24" s="270"/>
      <c r="P24" s="270"/>
      <c r="Q24" s="270"/>
      <c r="R24" s="270"/>
      <c r="S24" s="300"/>
    </row>
    <row r="25" spans="1:19" s="263" customFormat="1" x14ac:dyDescent="0.2">
      <c r="A25" s="298" t="s">
        <v>136</v>
      </c>
      <c r="B25" s="264"/>
      <c r="C25" s="264"/>
      <c r="D25" s="444">
        <f>'Elec State Recvd$ vs Costs'!D26</f>
        <v>-3.9563019527122378E-11</v>
      </c>
      <c r="E25" s="444">
        <v>7844810</v>
      </c>
      <c r="F25" s="444">
        <f>'Elec State Recvd$ vs Costs'!F26</f>
        <v>5592091.7000000002</v>
      </c>
      <c r="G25" s="444">
        <f>'Elec State Recvd$ vs Costs'!G26</f>
        <v>4653080.1100000003</v>
      </c>
      <c r="H25" s="444">
        <f>'Elec State Recvd$ vs Costs'!H26</f>
        <v>5121263.16</v>
      </c>
      <c r="I25" s="444">
        <f>'Elec State Recvd$ vs Costs'!I26</f>
        <v>5899504.4400000004</v>
      </c>
      <c r="J25" s="444">
        <f>'Elec State Recvd$ vs Costs'!J26</f>
        <v>5108228.68</v>
      </c>
      <c r="K25" s="377"/>
      <c r="L25" s="377"/>
      <c r="M25" s="377"/>
      <c r="N25" s="377"/>
      <c r="O25" s="377"/>
      <c r="P25" s="270"/>
      <c r="Q25" s="270"/>
      <c r="R25" s="270"/>
      <c r="S25" s="300"/>
    </row>
    <row r="26" spans="1:19" x14ac:dyDescent="0.2">
      <c r="A26" s="187"/>
      <c r="B26" s="187"/>
      <c r="C26" s="187"/>
      <c r="D26" s="199"/>
      <c r="E26" s="199"/>
      <c r="F26" s="199"/>
      <c r="G26" s="199"/>
      <c r="H26" s="199"/>
      <c r="I26" s="199"/>
      <c r="J26" s="199"/>
      <c r="K26" s="201"/>
      <c r="L26" s="201"/>
      <c r="M26" s="201"/>
      <c r="N26" s="235"/>
      <c r="O26" s="201"/>
      <c r="P26" s="201"/>
      <c r="Q26" s="201"/>
      <c r="R26" s="201"/>
      <c r="S26" s="178"/>
    </row>
    <row r="27" spans="1:19" x14ac:dyDescent="0.2">
      <c r="A27" s="198" t="s">
        <v>2</v>
      </c>
      <c r="B27" s="187"/>
      <c r="C27" s="187"/>
      <c r="D27" s="199"/>
      <c r="E27" s="199"/>
      <c r="F27" s="199"/>
      <c r="G27" s="199"/>
      <c r="H27" s="199"/>
      <c r="I27" s="199"/>
      <c r="J27" s="199"/>
      <c r="K27" s="201"/>
      <c r="L27" s="201"/>
      <c r="M27" s="201"/>
      <c r="N27" s="288"/>
      <c r="O27" s="201"/>
      <c r="P27" s="201"/>
      <c r="Q27" s="201"/>
      <c r="R27" s="201"/>
      <c r="S27" s="178"/>
    </row>
    <row r="28" spans="1:19" x14ac:dyDescent="0.2">
      <c r="A28" s="187"/>
      <c r="B28" s="187"/>
      <c r="C28" s="187"/>
      <c r="D28" s="187"/>
      <c r="E28" s="290"/>
      <c r="F28" s="187"/>
      <c r="G28" s="290"/>
      <c r="H28" s="199"/>
      <c r="I28" s="199"/>
      <c r="J28" s="199"/>
      <c r="K28" s="201"/>
      <c r="L28" s="201"/>
      <c r="M28" s="201"/>
      <c r="N28" s="235"/>
      <c r="O28" s="201"/>
      <c r="P28" s="201"/>
      <c r="Q28" s="201"/>
      <c r="R28" s="201"/>
      <c r="S28" s="178"/>
    </row>
    <row r="29" spans="1:19" x14ac:dyDescent="0.2">
      <c r="A29" s="187" t="s">
        <v>103</v>
      </c>
      <c r="B29" s="187"/>
      <c r="C29" s="187"/>
      <c r="D29" s="396">
        <v>2755659.03</v>
      </c>
      <c r="E29" s="396">
        <v>2034789.09</v>
      </c>
      <c r="F29" s="396">
        <v>2189648.08</v>
      </c>
      <c r="G29" s="396">
        <v>2665287.06</v>
      </c>
      <c r="H29" s="396">
        <v>2441536.59</v>
      </c>
      <c r="I29" s="396">
        <v>2107702.33</v>
      </c>
      <c r="J29" s="396">
        <v>2085701.88</v>
      </c>
      <c r="K29" s="382"/>
      <c r="L29" s="382"/>
      <c r="M29" s="291"/>
      <c r="N29" s="289"/>
      <c r="O29" s="183"/>
      <c r="P29" s="183"/>
      <c r="Q29" s="183"/>
      <c r="R29" s="183"/>
      <c r="S29" s="178"/>
    </row>
    <row r="30" spans="1:19" x14ac:dyDescent="0.2">
      <c r="A30" s="187" t="s">
        <v>104</v>
      </c>
      <c r="B30" s="187"/>
      <c r="C30" s="187"/>
      <c r="D30" s="408">
        <v>1208006.27</v>
      </c>
      <c r="E30" s="408">
        <v>1057342.3400000001</v>
      </c>
      <c r="F30" s="408">
        <v>1144689.1299999999</v>
      </c>
      <c r="G30" s="408">
        <v>1391699.41</v>
      </c>
      <c r="H30" s="408">
        <v>1259940.8899999999</v>
      </c>
      <c r="I30" s="408">
        <v>1101360.83</v>
      </c>
      <c r="J30" s="408">
        <v>1090203.33</v>
      </c>
      <c r="K30" s="382"/>
      <c r="L30" s="382"/>
      <c r="M30" s="291"/>
      <c r="N30" s="289"/>
      <c r="O30" s="183"/>
      <c r="P30" s="183"/>
      <c r="Q30" s="183"/>
      <c r="R30" s="183"/>
      <c r="S30" s="178"/>
    </row>
    <row r="31" spans="1:19" x14ac:dyDescent="0.2">
      <c r="A31" s="187" t="s">
        <v>105</v>
      </c>
      <c r="B31" s="187"/>
      <c r="C31" s="187"/>
      <c r="D31" s="208">
        <f>SUM(D29:D30)</f>
        <v>3963665.3</v>
      </c>
      <c r="E31" s="208">
        <f t="shared" ref="E31:J31" si="5">SUM(E29:E30)</f>
        <v>3092131.43</v>
      </c>
      <c r="F31" s="208">
        <f t="shared" si="5"/>
        <v>3334337.21</v>
      </c>
      <c r="G31" s="208">
        <f t="shared" si="5"/>
        <v>4056986.4699999997</v>
      </c>
      <c r="H31" s="208">
        <f t="shared" si="5"/>
        <v>3701477.4799999995</v>
      </c>
      <c r="I31" s="208">
        <f t="shared" si="5"/>
        <v>3209063.16</v>
      </c>
      <c r="J31" s="208">
        <f t="shared" si="5"/>
        <v>3175905.21</v>
      </c>
      <c r="K31" s="179"/>
      <c r="L31" s="179"/>
      <c r="M31" s="291"/>
      <c r="N31" s="235"/>
      <c r="O31" s="183"/>
      <c r="P31" s="183"/>
      <c r="Q31" s="201"/>
      <c r="R31" s="201"/>
      <c r="S31" s="178"/>
    </row>
    <row r="32" spans="1:19" x14ac:dyDescent="0.2">
      <c r="A32" s="187"/>
      <c r="B32" s="187"/>
      <c r="C32" s="187"/>
      <c r="D32" s="199"/>
      <c r="E32" s="199"/>
      <c r="F32" s="199"/>
      <c r="G32" s="199"/>
      <c r="H32" s="199"/>
      <c r="I32" s="199"/>
      <c r="J32" s="228"/>
      <c r="K32" s="211"/>
      <c r="L32" s="211"/>
      <c r="M32" s="211"/>
      <c r="N32" s="235"/>
      <c r="O32" s="183"/>
      <c r="P32" s="183"/>
      <c r="Q32" s="201"/>
      <c r="R32" s="201"/>
      <c r="S32" s="178"/>
    </row>
    <row r="33" spans="1:23" x14ac:dyDescent="0.2">
      <c r="A33" s="223" t="s">
        <v>136</v>
      </c>
      <c r="B33" s="187"/>
      <c r="C33" s="187"/>
      <c r="D33" s="201">
        <f>'Elec State Recvd$ vs Costs'!D42</f>
        <v>0</v>
      </c>
      <c r="E33" s="201">
        <f>'Elec State Recvd$ vs Costs'!E42</f>
        <v>0</v>
      </c>
      <c r="F33" s="201">
        <f>'Elec State Recvd$ vs Costs'!F42</f>
        <v>0</v>
      </c>
      <c r="G33" s="201">
        <f>'Elec State Recvd$ vs Costs'!G42</f>
        <v>4627409.21</v>
      </c>
      <c r="H33" s="201">
        <f>'Elec State Recvd$ vs Costs'!H42</f>
        <v>2039290.2</v>
      </c>
      <c r="I33" s="201">
        <f>'Elec State Recvd$ vs Costs'!I42</f>
        <v>1287388.97</v>
      </c>
      <c r="J33" s="201">
        <v>1072701</v>
      </c>
      <c r="K33" s="201"/>
      <c r="L33" s="201"/>
      <c r="M33" s="201"/>
      <c r="N33" s="235"/>
      <c r="O33" s="183"/>
      <c r="P33" s="183"/>
      <c r="Q33" s="201"/>
      <c r="R33" s="201"/>
      <c r="S33" s="178"/>
    </row>
    <row r="34" spans="1:23" x14ac:dyDescent="0.2">
      <c r="A34" s="187"/>
      <c r="B34" s="187"/>
      <c r="C34" s="187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35"/>
      <c r="O34" s="201"/>
      <c r="P34" s="201"/>
      <c r="Q34" s="201"/>
      <c r="R34" s="201"/>
      <c r="S34" s="178"/>
    </row>
    <row r="35" spans="1:23" x14ac:dyDescent="0.2">
      <c r="A35" s="198" t="s">
        <v>86</v>
      </c>
      <c r="B35" s="198"/>
      <c r="C35" s="187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3"/>
      <c r="O35" s="292"/>
      <c r="P35" s="292"/>
      <c r="Q35" s="292"/>
      <c r="R35" s="292"/>
      <c r="S35" s="178"/>
    </row>
    <row r="36" spans="1:23" x14ac:dyDescent="0.2">
      <c r="A36" s="187"/>
      <c r="B36" s="187"/>
      <c r="C36" s="187"/>
      <c r="D36" s="187"/>
      <c r="E36" s="290"/>
      <c r="F36" s="187"/>
      <c r="G36" s="290"/>
      <c r="H36" s="199"/>
      <c r="I36" s="199"/>
      <c r="J36" s="199"/>
      <c r="K36" s="201"/>
      <c r="L36" s="201"/>
      <c r="M36" s="201"/>
      <c r="N36" s="235"/>
      <c r="O36" s="201"/>
      <c r="P36" s="201"/>
      <c r="Q36" s="201"/>
      <c r="R36" s="201"/>
      <c r="S36" s="178"/>
    </row>
    <row r="37" spans="1:23" x14ac:dyDescent="0.2">
      <c r="A37" s="187" t="s">
        <v>103</v>
      </c>
      <c r="B37" s="187"/>
      <c r="C37" s="187"/>
      <c r="D37" s="396">
        <v>1614164.01</v>
      </c>
      <c r="E37" s="396">
        <v>1160853.3600000001</v>
      </c>
      <c r="F37" s="396">
        <v>870599.97</v>
      </c>
      <c r="G37" s="396">
        <v>0</v>
      </c>
      <c r="H37" s="396">
        <v>2011418.19</v>
      </c>
      <c r="I37" s="396">
        <v>960533.1</v>
      </c>
      <c r="J37" s="396">
        <v>898447.35</v>
      </c>
      <c r="K37" s="318"/>
      <c r="L37" s="318"/>
      <c r="M37" s="207"/>
      <c r="N37" s="183"/>
      <c r="O37" s="183"/>
      <c r="P37" s="183"/>
      <c r="Q37" s="183"/>
      <c r="R37" s="183"/>
      <c r="S37" s="178"/>
    </row>
    <row r="38" spans="1:23" x14ac:dyDescent="0.2">
      <c r="A38" s="187" t="s">
        <v>104</v>
      </c>
      <c r="B38" s="187"/>
      <c r="C38" s="187"/>
      <c r="D38" s="445">
        <v>630235.11</v>
      </c>
      <c r="E38" s="445">
        <v>494974.19</v>
      </c>
      <c r="F38" s="445">
        <v>453941.61</v>
      </c>
      <c r="G38" s="445">
        <v>0</v>
      </c>
      <c r="H38" s="445">
        <v>1051253.44</v>
      </c>
      <c r="I38" s="445">
        <v>503398.94</v>
      </c>
      <c r="J38" s="445">
        <v>468170</v>
      </c>
      <c r="K38" s="294"/>
      <c r="L38" s="294"/>
      <c r="M38" s="294"/>
      <c r="N38" s="183"/>
      <c r="O38" s="183"/>
      <c r="P38" s="183"/>
      <c r="Q38" s="184"/>
      <c r="R38" s="184"/>
      <c r="S38" s="178"/>
    </row>
    <row r="39" spans="1:23" x14ac:dyDescent="0.2">
      <c r="A39" s="187" t="s">
        <v>105</v>
      </c>
      <c r="B39" s="187"/>
      <c r="C39" s="187"/>
      <c r="D39" s="183">
        <f t="shared" ref="D39:I39" si="6">SUM(D35:D38)</f>
        <v>2244399.12</v>
      </c>
      <c r="E39" s="183">
        <f t="shared" si="6"/>
        <v>1655827.55</v>
      </c>
      <c r="F39" s="183">
        <f t="shared" si="6"/>
        <v>1324541.58</v>
      </c>
      <c r="G39" s="183">
        <f t="shared" si="6"/>
        <v>0</v>
      </c>
      <c r="H39" s="183">
        <f t="shared" si="6"/>
        <v>3062671.63</v>
      </c>
      <c r="I39" s="183">
        <f t="shared" si="6"/>
        <v>1463932.04</v>
      </c>
      <c r="J39" s="183">
        <f>SUM(J35:J38)</f>
        <v>1366617.35</v>
      </c>
      <c r="K39" s="211"/>
      <c r="L39" s="211"/>
      <c r="M39" s="211"/>
      <c r="N39" s="235"/>
      <c r="O39" s="211"/>
      <c r="P39" s="211"/>
      <c r="Q39" s="201"/>
      <c r="R39" s="201"/>
      <c r="S39" s="178"/>
    </row>
    <row r="40" spans="1:23" x14ac:dyDescent="0.2">
      <c r="A40" s="187"/>
      <c r="B40" s="187"/>
      <c r="C40" s="187"/>
      <c r="D40" s="182"/>
      <c r="E40" s="182"/>
      <c r="F40" s="182"/>
      <c r="G40" s="182"/>
      <c r="H40" s="182"/>
      <c r="I40" s="182"/>
      <c r="J40" s="182"/>
      <c r="K40" s="211"/>
      <c r="L40" s="211"/>
      <c r="M40" s="211"/>
      <c r="N40" s="235"/>
      <c r="O40" s="211"/>
      <c r="P40" s="211"/>
      <c r="Q40" s="201"/>
      <c r="R40" s="201"/>
      <c r="S40" s="178"/>
    </row>
    <row r="41" spans="1:23" x14ac:dyDescent="0.2">
      <c r="A41" s="223" t="s">
        <v>136</v>
      </c>
      <c r="B41" s="187"/>
      <c r="C41" s="187"/>
      <c r="D41" s="183">
        <v>0</v>
      </c>
      <c r="E41" s="183">
        <v>2410466.84</v>
      </c>
      <c r="F41" s="183">
        <v>1898321.28</v>
      </c>
      <c r="G41" s="183">
        <v>1538841.8</v>
      </c>
      <c r="H41" s="183">
        <v>1783338.21</v>
      </c>
      <c r="I41" s="183">
        <v>1922035.82</v>
      </c>
      <c r="J41" s="183">
        <v>2000471.05</v>
      </c>
      <c r="K41" s="211"/>
      <c r="L41" s="211"/>
      <c r="M41" s="211"/>
      <c r="N41" s="211"/>
      <c r="O41" s="211"/>
      <c r="P41" s="211"/>
      <c r="Q41" s="201"/>
      <c r="R41" s="201"/>
      <c r="S41" s="178"/>
    </row>
    <row r="42" spans="1:23" x14ac:dyDescent="0.2">
      <c r="A42" s="187"/>
      <c r="B42" s="187"/>
      <c r="C42" s="187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35"/>
      <c r="O42" s="201"/>
      <c r="P42" s="201"/>
      <c r="Q42" s="201"/>
      <c r="R42" s="201"/>
      <c r="S42" s="178"/>
    </row>
    <row r="43" spans="1:23" x14ac:dyDescent="0.2">
      <c r="A43" s="198" t="s">
        <v>8</v>
      </c>
      <c r="B43" s="187"/>
      <c r="C43" s="290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35"/>
      <c r="O43" s="201"/>
      <c r="P43" s="201"/>
      <c r="Q43" s="201"/>
      <c r="R43" s="201"/>
      <c r="S43" s="178"/>
    </row>
    <row r="44" spans="1:23" x14ac:dyDescent="0.2">
      <c r="A44" s="187"/>
      <c r="B44" s="187"/>
      <c r="C44" s="187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35"/>
      <c r="O44" s="201"/>
      <c r="P44" s="201"/>
      <c r="Q44" s="201"/>
      <c r="R44" s="201"/>
      <c r="S44" s="178"/>
      <c r="T44" s="178"/>
      <c r="U44" s="178"/>
      <c r="V44" s="178"/>
      <c r="W44" s="178"/>
    </row>
    <row r="45" spans="1:23" x14ac:dyDescent="0.2">
      <c r="A45" s="187" t="s">
        <v>103</v>
      </c>
      <c r="B45" s="187"/>
      <c r="C45" s="187"/>
      <c r="D45" s="396">
        <v>214743.69</v>
      </c>
      <c r="E45" s="396">
        <v>155388.98000000001</v>
      </c>
      <c r="F45" s="396">
        <v>171787.68</v>
      </c>
      <c r="G45" s="396">
        <v>192865.76</v>
      </c>
      <c r="H45" s="396">
        <v>177779.98</v>
      </c>
      <c r="I45" s="396">
        <v>156278.22</v>
      </c>
      <c r="J45" s="396">
        <v>153973.38</v>
      </c>
      <c r="K45" s="318"/>
      <c r="L45" s="318"/>
      <c r="M45" s="207"/>
      <c r="N45" s="183"/>
      <c r="O45" s="183"/>
      <c r="P45" s="183"/>
      <c r="Q45" s="211"/>
      <c r="R45" s="211"/>
      <c r="S45" s="178"/>
      <c r="T45" s="178"/>
      <c r="U45" s="295"/>
      <c r="V45" s="295"/>
      <c r="W45" s="178"/>
    </row>
    <row r="46" spans="1:23" x14ac:dyDescent="0.2">
      <c r="A46" s="187" t="s">
        <v>104</v>
      </c>
      <c r="B46" s="187"/>
      <c r="C46" s="187"/>
      <c r="D46" s="408">
        <v>97186.13</v>
      </c>
      <c r="E46" s="408">
        <v>81213.36</v>
      </c>
      <c r="F46" s="408">
        <v>89784.07</v>
      </c>
      <c r="G46" s="408">
        <v>100800.44</v>
      </c>
      <c r="H46" s="408">
        <v>92915.92</v>
      </c>
      <c r="I46" s="408">
        <v>81678.12</v>
      </c>
      <c r="J46" s="408">
        <v>80473.509999999995</v>
      </c>
      <c r="K46" s="318"/>
      <c r="L46" s="318"/>
      <c r="M46" s="207"/>
      <c r="N46" s="235"/>
      <c r="O46" s="183"/>
      <c r="P46" s="183"/>
      <c r="Q46" s="183"/>
      <c r="R46" s="183"/>
      <c r="S46" s="178"/>
      <c r="T46" s="178"/>
      <c r="U46" s="295"/>
      <c r="V46" s="295"/>
      <c r="W46" s="178"/>
    </row>
    <row r="47" spans="1:23" x14ac:dyDescent="0.2">
      <c r="A47" s="187" t="s">
        <v>105</v>
      </c>
      <c r="B47" s="187"/>
      <c r="C47" s="187"/>
      <c r="D47" s="183">
        <f t="shared" ref="D47:J47" si="7">SUM(D43:D46)</f>
        <v>311929.82</v>
      </c>
      <c r="E47" s="183">
        <f t="shared" si="7"/>
        <v>236602.34000000003</v>
      </c>
      <c r="F47" s="183">
        <f t="shared" si="7"/>
        <v>261571.75</v>
      </c>
      <c r="G47" s="183">
        <f t="shared" si="7"/>
        <v>293666.2</v>
      </c>
      <c r="H47" s="183">
        <f t="shared" si="7"/>
        <v>270695.90000000002</v>
      </c>
      <c r="I47" s="183">
        <f t="shared" si="7"/>
        <v>237956.34</v>
      </c>
      <c r="J47" s="183">
        <f t="shared" si="7"/>
        <v>234446.89</v>
      </c>
      <c r="K47" s="183"/>
      <c r="L47" s="183"/>
      <c r="M47" s="206"/>
      <c r="N47" s="235"/>
      <c r="O47" s="183"/>
      <c r="P47" s="183"/>
      <c r="Q47" s="183"/>
      <c r="R47" s="183"/>
      <c r="S47" s="178"/>
      <c r="T47" s="178"/>
      <c r="U47" s="183"/>
      <c r="V47" s="183"/>
      <c r="W47" s="178"/>
    </row>
    <row r="48" spans="1:23" x14ac:dyDescent="0.2">
      <c r="A48" s="187"/>
      <c r="B48" s="187"/>
      <c r="C48" s="187"/>
      <c r="D48" s="182"/>
      <c r="E48" s="182"/>
      <c r="F48" s="182"/>
      <c r="G48" s="182"/>
      <c r="H48" s="182"/>
      <c r="I48" s="182"/>
      <c r="J48" s="182"/>
      <c r="K48" s="183"/>
      <c r="L48" s="183"/>
      <c r="M48" s="296"/>
      <c r="N48" s="235"/>
      <c r="O48" s="235"/>
      <c r="P48" s="235"/>
      <c r="Q48" s="183"/>
      <c r="R48" s="183"/>
      <c r="S48" s="178"/>
      <c r="T48" s="178"/>
      <c r="U48" s="178"/>
      <c r="V48" s="178"/>
      <c r="W48" s="178"/>
    </row>
    <row r="49" spans="1:23" x14ac:dyDescent="0.2">
      <c r="A49" s="223" t="s">
        <v>136</v>
      </c>
      <c r="B49" s="187"/>
      <c r="C49" s="187"/>
      <c r="D49" s="211">
        <f>'Elec State Recvd$ vs Costs'!D74</f>
        <v>0</v>
      </c>
      <c r="E49" s="211">
        <f>'Elec State Recvd$ vs Costs'!E74</f>
        <v>50324.35</v>
      </c>
      <c r="F49" s="211">
        <f>'Elec State Recvd$ vs Costs'!F74</f>
        <v>0</v>
      </c>
      <c r="G49" s="211">
        <f>'Elec State Recvd$ vs Costs'!G74</f>
        <v>35867.19</v>
      </c>
      <c r="H49" s="211">
        <f>'Elec State Recvd$ vs Costs'!H74</f>
        <v>35491.199999999997</v>
      </c>
      <c r="I49" s="211">
        <f>'Elec State Recvd$ vs Costs'!I74</f>
        <v>54882.94</v>
      </c>
      <c r="J49" s="211">
        <f>'Elec State Recvd$ vs Costs'!J74</f>
        <v>38473.5</v>
      </c>
      <c r="K49" s="211"/>
      <c r="L49" s="211"/>
      <c r="M49" s="211"/>
      <c r="N49" s="183"/>
      <c r="O49" s="211"/>
      <c r="P49" s="211"/>
      <c r="Q49" s="201"/>
      <c r="R49" s="201"/>
      <c r="S49" s="178"/>
      <c r="T49" s="178"/>
      <c r="U49" s="183"/>
      <c r="V49" s="183"/>
      <c r="W49" s="178"/>
    </row>
    <row r="50" spans="1:23" x14ac:dyDescent="0.2">
      <c r="A50" s="187"/>
      <c r="B50" s="187"/>
      <c r="C50" s="187"/>
      <c r="D50" s="201"/>
      <c r="E50" s="201"/>
      <c r="F50" s="201"/>
      <c r="G50" s="201"/>
      <c r="H50" s="201"/>
      <c r="I50" s="201"/>
      <c r="J50" s="201"/>
      <c r="K50" s="178"/>
      <c r="L50" s="178"/>
      <c r="M50" s="235"/>
      <c r="N50" s="235"/>
      <c r="O50" s="235"/>
      <c r="P50" s="235"/>
      <c r="Q50" s="201"/>
      <c r="R50" s="201"/>
      <c r="S50" s="178"/>
      <c r="T50" s="178"/>
      <c r="U50" s="178"/>
      <c r="V50" s="178"/>
      <c r="W50" s="178"/>
    </row>
    <row r="51" spans="1:23" x14ac:dyDescent="0.2">
      <c r="A51" s="198"/>
      <c r="B51" s="198"/>
      <c r="C51" s="187"/>
      <c r="D51" s="201"/>
      <c r="E51" s="201"/>
      <c r="F51" s="201"/>
      <c r="G51" s="201"/>
      <c r="H51" s="201"/>
      <c r="I51" s="201"/>
      <c r="J51" s="201"/>
      <c r="K51" s="201"/>
      <c r="L51" s="235"/>
      <c r="M51" s="235"/>
      <c r="N51" s="235"/>
      <c r="O51" s="178"/>
      <c r="P51" s="178"/>
      <c r="Q51" s="235"/>
      <c r="S51" s="178"/>
      <c r="T51" s="178"/>
      <c r="U51" s="178"/>
      <c r="V51" s="178"/>
      <c r="W51" s="178"/>
    </row>
    <row r="52" spans="1:23" x14ac:dyDescent="0.2">
      <c r="A52" s="187"/>
      <c r="B52" s="187"/>
      <c r="C52" s="187"/>
      <c r="D52" s="187"/>
      <c r="E52" s="187"/>
      <c r="F52" s="187"/>
      <c r="G52" s="187"/>
      <c r="H52" s="187"/>
      <c r="I52" s="187"/>
      <c r="J52" s="187"/>
      <c r="K52" s="260"/>
      <c r="L52" s="178"/>
      <c r="M52" s="178"/>
      <c r="N52" s="178"/>
      <c r="O52" s="178"/>
      <c r="P52" s="178"/>
      <c r="S52" s="178"/>
      <c r="T52" s="178"/>
      <c r="U52" s="178"/>
      <c r="V52" s="178"/>
      <c r="W52" s="178"/>
    </row>
    <row r="53" spans="1:23" x14ac:dyDescent="0.2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260"/>
      <c r="L53" s="178"/>
      <c r="M53" s="178"/>
      <c r="N53" s="178"/>
      <c r="O53" s="178"/>
      <c r="P53" s="178"/>
      <c r="S53" s="178"/>
      <c r="T53" s="178"/>
      <c r="U53" s="178"/>
      <c r="V53" s="178"/>
      <c r="W53" s="178"/>
    </row>
    <row r="54" spans="1:23" x14ac:dyDescent="0.2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260"/>
      <c r="L54" s="178"/>
      <c r="M54" s="178"/>
      <c r="N54" s="178"/>
      <c r="O54" s="178"/>
      <c r="P54" s="178"/>
      <c r="S54" s="178"/>
    </row>
    <row r="55" spans="1:23" x14ac:dyDescent="0.2">
      <c r="K55" s="178"/>
      <c r="L55" s="178"/>
      <c r="M55" s="178"/>
      <c r="N55" s="178"/>
      <c r="O55" s="178"/>
      <c r="P55" s="178"/>
      <c r="S55" s="178"/>
    </row>
    <row r="56" spans="1:23" x14ac:dyDescent="0.2">
      <c r="K56" s="178"/>
      <c r="L56" s="178"/>
      <c r="M56" s="178"/>
      <c r="N56" s="178"/>
      <c r="O56" s="178"/>
      <c r="P56" s="178"/>
      <c r="S56" s="178"/>
    </row>
    <row r="57" spans="1:23" x14ac:dyDescent="0.2">
      <c r="K57" s="178"/>
      <c r="L57" s="178"/>
      <c r="M57" s="178"/>
      <c r="N57" s="178"/>
      <c r="O57" s="178"/>
      <c r="P57" s="178"/>
      <c r="S57" s="178"/>
    </row>
    <row r="58" spans="1:23" x14ac:dyDescent="0.2">
      <c r="K58" s="178"/>
      <c r="L58" s="178"/>
      <c r="M58" s="178"/>
      <c r="N58" s="178"/>
      <c r="O58" s="178"/>
      <c r="P58" s="178"/>
      <c r="S58" s="178"/>
    </row>
    <row r="59" spans="1:23" x14ac:dyDescent="0.2">
      <c r="K59" s="178"/>
      <c r="L59" s="178"/>
      <c r="M59" s="178"/>
      <c r="N59" s="178"/>
      <c r="O59" s="178"/>
      <c r="P59" s="178"/>
      <c r="S59" s="178"/>
    </row>
    <row r="60" spans="1:23" x14ac:dyDescent="0.2">
      <c r="K60" s="178"/>
      <c r="L60" s="178"/>
      <c r="M60" s="178"/>
      <c r="N60" s="178"/>
      <c r="O60" s="178"/>
      <c r="P60" s="178"/>
      <c r="S60" s="178"/>
    </row>
    <row r="61" spans="1:23" x14ac:dyDescent="0.2">
      <c r="K61" s="178"/>
      <c r="L61" s="178"/>
      <c r="M61" s="178"/>
      <c r="N61" s="178"/>
      <c r="O61" s="178"/>
      <c r="P61" s="178"/>
      <c r="S61" s="178"/>
    </row>
    <row r="62" spans="1:23" x14ac:dyDescent="0.2">
      <c r="K62" s="178"/>
      <c r="L62" s="178"/>
      <c r="M62" s="178"/>
      <c r="N62" s="178"/>
      <c r="O62" s="178"/>
      <c r="P62" s="178"/>
      <c r="S62" s="178"/>
    </row>
    <row r="63" spans="1:23" x14ac:dyDescent="0.2">
      <c r="K63" s="178"/>
      <c r="L63" s="178"/>
      <c r="M63" s="178"/>
      <c r="N63" s="178"/>
      <c r="O63" s="178"/>
      <c r="P63" s="178"/>
      <c r="S63" s="178"/>
    </row>
    <row r="64" spans="1:23" x14ac:dyDescent="0.2">
      <c r="K64" s="178"/>
      <c r="L64" s="178"/>
      <c r="M64" s="178"/>
      <c r="N64" s="178"/>
      <c r="O64" s="178"/>
      <c r="P64" s="178"/>
      <c r="S64" s="178"/>
    </row>
    <row r="65" spans="11:19" x14ac:dyDescent="0.2">
      <c r="K65" s="178"/>
      <c r="L65" s="178"/>
      <c r="M65" s="178"/>
      <c r="N65" s="178"/>
      <c r="O65" s="178"/>
      <c r="P65" s="178"/>
      <c r="S65" s="178"/>
    </row>
    <row r="66" spans="11:19" x14ac:dyDescent="0.2">
      <c r="K66" s="178"/>
      <c r="L66" s="178"/>
      <c r="M66" s="178"/>
      <c r="N66" s="178"/>
      <c r="O66" s="178"/>
      <c r="P66" s="178"/>
      <c r="S66" s="178"/>
    </row>
    <row r="67" spans="11:19" x14ac:dyDescent="0.2">
      <c r="S67" s="178"/>
    </row>
    <row r="68" spans="11:19" x14ac:dyDescent="0.2">
      <c r="S68" s="178"/>
    </row>
    <row r="69" spans="11:19" x14ac:dyDescent="0.2">
      <c r="S69" s="178"/>
    </row>
    <row r="70" spans="11:19" x14ac:dyDescent="0.2">
      <c r="S70" s="178"/>
    </row>
    <row r="71" spans="11:19" x14ac:dyDescent="0.2">
      <c r="S71" s="178"/>
    </row>
    <row r="72" spans="11:19" x14ac:dyDescent="0.2">
      <c r="S72" s="178"/>
    </row>
    <row r="73" spans="11:19" x14ac:dyDescent="0.2">
      <c r="S73" s="178"/>
    </row>
    <row r="74" spans="11:19" x14ac:dyDescent="0.2">
      <c r="S74" s="178"/>
    </row>
    <row r="75" spans="11:19" x14ac:dyDescent="0.2">
      <c r="S75" s="178"/>
    </row>
    <row r="76" spans="11:19" x14ac:dyDescent="0.2">
      <c r="S76" s="178"/>
    </row>
    <row r="77" spans="11:19" x14ac:dyDescent="0.2">
      <c r="S77" s="178"/>
    </row>
    <row r="78" spans="11:19" x14ac:dyDescent="0.2">
      <c r="S78" s="178"/>
    </row>
    <row r="79" spans="11:19" x14ac:dyDescent="0.2">
      <c r="S79" s="178"/>
    </row>
    <row r="80" spans="11:19" x14ac:dyDescent="0.2">
      <c r="S80" s="178"/>
    </row>
    <row r="81" spans="19:19" x14ac:dyDescent="0.2">
      <c r="S81" s="178"/>
    </row>
    <row r="82" spans="19:19" x14ac:dyDescent="0.2">
      <c r="S82" s="178"/>
    </row>
    <row r="83" spans="19:19" x14ac:dyDescent="0.2">
      <c r="S83" s="178"/>
    </row>
    <row r="84" spans="19:19" x14ac:dyDescent="0.2">
      <c r="S84" s="178"/>
    </row>
    <row r="85" spans="19:19" x14ac:dyDescent="0.2">
      <c r="S85" s="178"/>
    </row>
    <row r="86" spans="19:19" x14ac:dyDescent="0.2">
      <c r="S86" s="178"/>
    </row>
    <row r="87" spans="19:19" x14ac:dyDescent="0.2">
      <c r="S87" s="178"/>
    </row>
    <row r="88" spans="19:19" x14ac:dyDescent="0.2">
      <c r="S88" s="178"/>
    </row>
    <row r="89" spans="19:19" x14ac:dyDescent="0.2">
      <c r="S89" s="178"/>
    </row>
    <row r="90" spans="19:19" x14ac:dyDescent="0.2">
      <c r="S90" s="178"/>
    </row>
    <row r="91" spans="19:19" x14ac:dyDescent="0.2">
      <c r="S91" s="178"/>
    </row>
    <row r="92" spans="19:19" x14ac:dyDescent="0.2">
      <c r="S92" s="178"/>
    </row>
    <row r="93" spans="19:19" x14ac:dyDescent="0.2">
      <c r="S93" s="178"/>
    </row>
    <row r="94" spans="19:19" x14ac:dyDescent="0.2">
      <c r="S94" s="178"/>
    </row>
    <row r="95" spans="19:19" x14ac:dyDescent="0.2">
      <c r="S95" s="178"/>
    </row>
    <row r="96" spans="19:19" x14ac:dyDescent="0.2">
      <c r="S96" s="178"/>
    </row>
    <row r="97" spans="19:19" x14ac:dyDescent="0.2">
      <c r="S97" s="178"/>
    </row>
    <row r="98" spans="19:19" x14ac:dyDescent="0.2">
      <c r="S98" s="178"/>
    </row>
    <row r="99" spans="19:19" x14ac:dyDescent="0.2">
      <c r="S99" s="178"/>
    </row>
    <row r="100" spans="19:19" x14ac:dyDescent="0.2">
      <c r="S100" s="178"/>
    </row>
    <row r="101" spans="19:19" x14ac:dyDescent="0.2">
      <c r="S101" s="178"/>
    </row>
    <row r="102" spans="19:19" x14ac:dyDescent="0.2">
      <c r="S102" s="178"/>
    </row>
    <row r="103" spans="19:19" x14ac:dyDescent="0.2">
      <c r="S103" s="178"/>
    </row>
    <row r="104" spans="19:19" x14ac:dyDescent="0.2">
      <c r="S104" s="178"/>
    </row>
    <row r="105" spans="19:19" x14ac:dyDescent="0.2">
      <c r="S105" s="178"/>
    </row>
    <row r="106" spans="19:19" x14ac:dyDescent="0.2">
      <c r="S106" s="178"/>
    </row>
    <row r="107" spans="19:19" x14ac:dyDescent="0.2">
      <c r="S107" s="178"/>
    </row>
    <row r="108" spans="19:19" x14ac:dyDescent="0.2">
      <c r="S108" s="178"/>
    </row>
    <row r="109" spans="19:19" x14ac:dyDescent="0.2">
      <c r="S109" s="178"/>
    </row>
    <row r="110" spans="19:19" x14ac:dyDescent="0.2">
      <c r="S110" s="178"/>
    </row>
    <row r="111" spans="19:19" x14ac:dyDescent="0.2">
      <c r="S111" s="178"/>
    </row>
    <row r="112" spans="19:19" x14ac:dyDescent="0.2">
      <c r="S112" s="178"/>
    </row>
    <row r="113" spans="19:19" x14ac:dyDescent="0.2">
      <c r="S113" s="178"/>
    </row>
    <row r="114" spans="19:19" x14ac:dyDescent="0.2">
      <c r="S114" s="178"/>
    </row>
    <row r="115" spans="19:19" x14ac:dyDescent="0.2">
      <c r="S115" s="178"/>
    </row>
    <row r="116" spans="19:19" x14ac:dyDescent="0.2">
      <c r="S116" s="178"/>
    </row>
    <row r="117" spans="19:19" x14ac:dyDescent="0.2">
      <c r="S117" s="178"/>
    </row>
    <row r="118" spans="19:19" x14ac:dyDescent="0.2">
      <c r="S118" s="178"/>
    </row>
    <row r="119" spans="19:19" x14ac:dyDescent="0.2">
      <c r="S119" s="178"/>
    </row>
    <row r="120" spans="19:19" x14ac:dyDescent="0.2">
      <c r="S120" s="178"/>
    </row>
    <row r="121" spans="19:19" x14ac:dyDescent="0.2">
      <c r="S121" s="178"/>
    </row>
    <row r="122" spans="19:19" x14ac:dyDescent="0.2">
      <c r="S122" s="178"/>
    </row>
    <row r="123" spans="19:19" x14ac:dyDescent="0.2">
      <c r="S123" s="178"/>
    </row>
    <row r="124" spans="19:19" x14ac:dyDescent="0.2">
      <c r="S124" s="178"/>
    </row>
    <row r="125" spans="19:19" x14ac:dyDescent="0.2">
      <c r="S125" s="178"/>
    </row>
    <row r="126" spans="19:19" x14ac:dyDescent="0.2">
      <c r="S126" s="178"/>
    </row>
    <row r="127" spans="19:19" x14ac:dyDescent="0.2">
      <c r="S127" s="178"/>
    </row>
    <row r="128" spans="19:19" x14ac:dyDescent="0.2">
      <c r="S128" s="178"/>
    </row>
    <row r="129" spans="19:19" x14ac:dyDescent="0.2">
      <c r="S129" s="178"/>
    </row>
    <row r="130" spans="19:19" x14ac:dyDescent="0.2">
      <c r="S130" s="178"/>
    </row>
    <row r="131" spans="19:19" x14ac:dyDescent="0.2">
      <c r="S131" s="178"/>
    </row>
    <row r="132" spans="19:19" x14ac:dyDescent="0.2">
      <c r="S132" s="178"/>
    </row>
    <row r="133" spans="19:19" x14ac:dyDescent="0.2">
      <c r="S133" s="178"/>
    </row>
    <row r="134" spans="19:19" x14ac:dyDescent="0.2">
      <c r="S134" s="178"/>
    </row>
    <row r="135" spans="19:19" x14ac:dyDescent="0.2">
      <c r="S135" s="178"/>
    </row>
    <row r="136" spans="19:19" x14ac:dyDescent="0.2">
      <c r="S136" s="178"/>
    </row>
    <row r="137" spans="19:19" x14ac:dyDescent="0.2">
      <c r="S137" s="178"/>
    </row>
    <row r="138" spans="19:19" x14ac:dyDescent="0.2">
      <c r="S138" s="178"/>
    </row>
    <row r="139" spans="19:19" x14ac:dyDescent="0.2">
      <c r="S139" s="178"/>
    </row>
    <row r="140" spans="19:19" x14ac:dyDescent="0.2">
      <c r="S140" s="178"/>
    </row>
    <row r="141" spans="19:19" x14ac:dyDescent="0.2">
      <c r="S141" s="178"/>
    </row>
    <row r="142" spans="19:19" x14ac:dyDescent="0.2">
      <c r="S142" s="178"/>
    </row>
    <row r="143" spans="19:19" x14ac:dyDescent="0.2">
      <c r="S143" s="178"/>
    </row>
    <row r="144" spans="19:19" x14ac:dyDescent="0.2">
      <c r="S144" s="178"/>
    </row>
    <row r="145" spans="19:19" x14ac:dyDescent="0.2">
      <c r="S145" s="178"/>
    </row>
    <row r="146" spans="19:19" x14ac:dyDescent="0.2">
      <c r="S146" s="178"/>
    </row>
    <row r="147" spans="19:19" x14ac:dyDescent="0.2">
      <c r="S147" s="178"/>
    </row>
    <row r="148" spans="19:19" x14ac:dyDescent="0.2">
      <c r="S148" s="178"/>
    </row>
    <row r="149" spans="19:19" x14ac:dyDescent="0.2">
      <c r="S149" s="178"/>
    </row>
    <row r="150" spans="19:19" x14ac:dyDescent="0.2">
      <c r="S150" s="178"/>
    </row>
    <row r="151" spans="19:19" x14ac:dyDescent="0.2">
      <c r="S151" s="178"/>
    </row>
    <row r="152" spans="19:19" x14ac:dyDescent="0.2">
      <c r="S152" s="178"/>
    </row>
    <row r="153" spans="19:19" x14ac:dyDescent="0.2">
      <c r="S153" s="178"/>
    </row>
    <row r="154" spans="19:19" x14ac:dyDescent="0.2">
      <c r="S154" s="178"/>
    </row>
    <row r="155" spans="19:19" x14ac:dyDescent="0.2">
      <c r="S155" s="178"/>
    </row>
    <row r="156" spans="19:19" x14ac:dyDescent="0.2">
      <c r="S156" s="178"/>
    </row>
    <row r="157" spans="19:19" x14ac:dyDescent="0.2">
      <c r="S157" s="178"/>
    </row>
    <row r="158" spans="19:19" x14ac:dyDescent="0.2">
      <c r="S158" s="178"/>
    </row>
    <row r="159" spans="19:19" x14ac:dyDescent="0.2">
      <c r="S159" s="178"/>
    </row>
    <row r="160" spans="19:19" x14ac:dyDescent="0.2">
      <c r="S160" s="178"/>
    </row>
    <row r="161" spans="19:19" x14ac:dyDescent="0.2">
      <c r="S161" s="178"/>
    </row>
    <row r="162" spans="19:19" x14ac:dyDescent="0.2">
      <c r="S162" s="178"/>
    </row>
    <row r="163" spans="19:19" x14ac:dyDescent="0.2">
      <c r="S163" s="178"/>
    </row>
    <row r="164" spans="19:19" x14ac:dyDescent="0.2">
      <c r="S164" s="178"/>
    </row>
    <row r="165" spans="19:19" x14ac:dyDescent="0.2">
      <c r="S165" s="178"/>
    </row>
    <row r="166" spans="19:19" x14ac:dyDescent="0.2">
      <c r="S166" s="178"/>
    </row>
    <row r="167" spans="19:19" x14ac:dyDescent="0.2">
      <c r="S167" s="178"/>
    </row>
    <row r="168" spans="19:19" x14ac:dyDescent="0.2">
      <c r="S168" s="178"/>
    </row>
    <row r="169" spans="19:19" x14ac:dyDescent="0.2">
      <c r="S169" s="178"/>
    </row>
    <row r="170" spans="19:19" x14ac:dyDescent="0.2">
      <c r="S170" s="178"/>
    </row>
    <row r="171" spans="19:19" x14ac:dyDescent="0.2">
      <c r="S171" s="178"/>
    </row>
    <row r="172" spans="19:19" x14ac:dyDescent="0.2">
      <c r="S172" s="178"/>
    </row>
    <row r="173" spans="19:19" x14ac:dyDescent="0.2">
      <c r="S173" s="178"/>
    </row>
    <row r="174" spans="19:19" x14ac:dyDescent="0.2">
      <c r="S174" s="178"/>
    </row>
    <row r="175" spans="19:19" x14ac:dyDescent="0.2">
      <c r="S175" s="178"/>
    </row>
    <row r="176" spans="19:19" x14ac:dyDescent="0.2">
      <c r="S176" s="178"/>
    </row>
    <row r="177" spans="19:19" x14ac:dyDescent="0.2">
      <c r="S177" s="178"/>
    </row>
    <row r="178" spans="19:19" x14ac:dyDescent="0.2">
      <c r="S178" s="178"/>
    </row>
    <row r="179" spans="19:19" x14ac:dyDescent="0.2">
      <c r="S179" s="178"/>
    </row>
  </sheetData>
  <sheetProtection formatCells="0" formatColumns="0" formatRows="0" insertColumns="0" insertRows="0" insertHyperlinks="0" deleteColumns="0" deleteRows="0" sort="0" autoFilter="0" pivotTables="0"/>
  <phoneticPr fontId="13" type="noConversion"/>
  <pageMargins left="0.75" right="0.75" top="1" bottom="1" header="0.5" footer="0.5"/>
  <pageSetup paperSize="5" scale="68" orientation="landscape" r:id="rId1"/>
  <headerFooter alignWithMargins="0">
    <oddFooter>&amp;R&amp;F
&amp;A</oddFooter>
  </headerFooter>
  <rowBreaks count="1" manualBreakCount="1">
    <brk id="51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13"/>
  <sheetViews>
    <sheetView zoomScaleNormal="100" workbookViewId="0">
      <pane xSplit="2" ySplit="5" topLeftCell="C51" activePane="bottomRight" state="frozen"/>
      <selection pane="topRight" activeCell="C1" sqref="C1"/>
      <selection pane="bottomLeft" activeCell="A6" sqref="A6"/>
      <selection pane="bottomRight" activeCell="D75" sqref="D75"/>
    </sheetView>
  </sheetViews>
  <sheetFormatPr defaultRowHeight="12.75" x14ac:dyDescent="0.2"/>
  <cols>
    <col min="2" max="2" width="40" bestFit="1" customWidth="1"/>
    <col min="3" max="14" width="16.140625" customWidth="1"/>
  </cols>
  <sheetData>
    <row r="1" spans="1:15" ht="15.75" x14ac:dyDescent="0.25">
      <c r="A1" s="168" t="s">
        <v>143</v>
      </c>
    </row>
    <row r="3" spans="1:15" x14ac:dyDescent="0.2">
      <c r="B3" s="361" t="s">
        <v>146</v>
      </c>
      <c r="C3" s="345" t="s">
        <v>17</v>
      </c>
      <c r="D3" s="345" t="s">
        <v>18</v>
      </c>
      <c r="E3" s="345" t="s">
        <v>19</v>
      </c>
      <c r="F3" s="345" t="s">
        <v>20</v>
      </c>
      <c r="G3" s="345" t="s">
        <v>21</v>
      </c>
      <c r="H3" s="345" t="s">
        <v>22</v>
      </c>
      <c r="I3" s="345" t="s">
        <v>23</v>
      </c>
      <c r="J3" s="345" t="s">
        <v>24</v>
      </c>
      <c r="K3" s="345" t="s">
        <v>25</v>
      </c>
      <c r="L3" s="345" t="s">
        <v>14</v>
      </c>
      <c r="M3" s="345" t="s">
        <v>15</v>
      </c>
      <c r="N3" s="345" t="s">
        <v>16</v>
      </c>
    </row>
    <row r="4" spans="1:15" x14ac:dyDescent="0.2">
      <c r="B4" s="361" t="s">
        <v>147</v>
      </c>
      <c r="C4" s="345">
        <v>2017</v>
      </c>
      <c r="D4" s="345">
        <v>2017</v>
      </c>
      <c r="E4" s="345">
        <v>2017</v>
      </c>
      <c r="F4" s="346">
        <v>2018</v>
      </c>
      <c r="G4" s="346">
        <v>2018</v>
      </c>
      <c r="H4" s="346">
        <v>2018</v>
      </c>
      <c r="I4" s="346">
        <v>2018</v>
      </c>
      <c r="J4" s="346">
        <v>2018</v>
      </c>
      <c r="K4" s="346">
        <v>2018</v>
      </c>
      <c r="L4" s="346">
        <v>2018</v>
      </c>
      <c r="M4" s="346">
        <v>2018</v>
      </c>
      <c r="N4" s="346">
        <v>2018</v>
      </c>
    </row>
    <row r="5" spans="1:15" x14ac:dyDescent="0.2">
      <c r="B5" s="167" t="s">
        <v>148</v>
      </c>
      <c r="C5" s="345" t="s">
        <v>30</v>
      </c>
      <c r="D5" s="346" t="s">
        <v>30</v>
      </c>
      <c r="E5" s="346" t="s">
        <v>30</v>
      </c>
      <c r="F5" s="346" t="s">
        <v>30</v>
      </c>
      <c r="G5" s="346" t="s">
        <v>30</v>
      </c>
      <c r="H5" s="346" t="s">
        <v>30</v>
      </c>
      <c r="I5" s="346" t="s">
        <v>30</v>
      </c>
      <c r="J5" s="346" t="s">
        <v>198</v>
      </c>
      <c r="K5" s="346" t="s">
        <v>198</v>
      </c>
      <c r="L5" s="346" t="s">
        <v>198</v>
      </c>
      <c r="M5" s="346" t="s">
        <v>198</v>
      </c>
      <c r="N5" s="346" t="s">
        <v>198</v>
      </c>
    </row>
    <row r="7" spans="1:15" x14ac:dyDescent="0.2">
      <c r="A7" s="166" t="s">
        <v>144</v>
      </c>
      <c r="B7" s="167" t="s">
        <v>145</v>
      </c>
      <c r="C7" s="166"/>
    </row>
    <row r="9" spans="1:15" x14ac:dyDescent="0.2">
      <c r="B9" s="363" t="s">
        <v>103</v>
      </c>
      <c r="C9" s="352">
        <v>6589685.3700000001</v>
      </c>
      <c r="D9" s="352">
        <v>4591335.0199999996</v>
      </c>
      <c r="E9" s="352">
        <v>4158976.9</v>
      </c>
      <c r="F9" s="352">
        <v>4735055.47</v>
      </c>
      <c r="G9" s="352">
        <v>5144152.38</v>
      </c>
      <c r="H9" s="352">
        <v>4640024.79</v>
      </c>
      <c r="I9" s="352">
        <v>4321925.38</v>
      </c>
      <c r="J9" s="385"/>
      <c r="K9" s="386"/>
      <c r="L9" s="386"/>
      <c r="M9" s="386"/>
      <c r="N9" s="386"/>
      <c r="O9" s="166" t="s">
        <v>201</v>
      </c>
    </row>
    <row r="10" spans="1:15" x14ac:dyDescent="0.2">
      <c r="B10" s="363" t="s">
        <v>104</v>
      </c>
      <c r="C10" s="352">
        <v>2572879.2999999998</v>
      </c>
      <c r="D10" s="352">
        <v>2399640.9500000002</v>
      </c>
      <c r="E10" s="352">
        <v>2173670.89</v>
      </c>
      <c r="F10" s="352">
        <v>2474755.81</v>
      </c>
      <c r="G10" s="352">
        <v>2688568.5</v>
      </c>
      <c r="H10" s="352">
        <v>2425088.44</v>
      </c>
      <c r="I10" s="352">
        <v>2258835.19</v>
      </c>
      <c r="J10" s="385"/>
      <c r="K10" s="386"/>
      <c r="L10" s="386"/>
      <c r="M10" s="386"/>
      <c r="N10" s="386"/>
      <c r="O10" s="166" t="s">
        <v>201</v>
      </c>
    </row>
    <row r="11" spans="1:15" x14ac:dyDescent="0.2">
      <c r="C11" s="15"/>
      <c r="D11" s="15"/>
      <c r="E11" s="15"/>
      <c r="F11" s="15"/>
      <c r="G11" s="15"/>
      <c r="H11" s="15"/>
      <c r="I11" s="15"/>
      <c r="J11" s="170"/>
      <c r="K11" s="170"/>
      <c r="L11" s="170"/>
    </row>
    <row r="12" spans="1:15" x14ac:dyDescent="0.2">
      <c r="A12" s="166" t="s">
        <v>144</v>
      </c>
      <c r="B12" s="167" t="s">
        <v>149</v>
      </c>
      <c r="C12" s="40"/>
      <c r="D12" s="15"/>
      <c r="E12" s="15"/>
      <c r="F12" s="15"/>
      <c r="G12" s="15"/>
      <c r="H12" s="15"/>
      <c r="I12" s="15"/>
      <c r="J12" s="170"/>
      <c r="K12" s="170"/>
      <c r="L12" s="170"/>
    </row>
    <row r="13" spans="1:15" x14ac:dyDescent="0.2">
      <c r="C13" s="15"/>
      <c r="D13" s="15"/>
      <c r="E13" s="15"/>
      <c r="F13" s="15"/>
      <c r="G13" s="15"/>
      <c r="H13" s="15"/>
      <c r="I13" s="15"/>
      <c r="J13" s="170"/>
      <c r="K13" s="170"/>
      <c r="L13" s="170"/>
    </row>
    <row r="14" spans="1:15" x14ac:dyDescent="0.2">
      <c r="B14" s="363" t="s">
        <v>103</v>
      </c>
      <c r="C14" s="360">
        <v>586250.14</v>
      </c>
      <c r="D14" s="360">
        <v>316308.87</v>
      </c>
      <c r="E14" s="360">
        <v>655916.61</v>
      </c>
      <c r="F14" s="360">
        <v>1304276.7</v>
      </c>
      <c r="G14" s="360">
        <v>1997133.07</v>
      </c>
      <c r="H14" s="360">
        <v>1483250.42</v>
      </c>
      <c r="I14" s="360">
        <v>1302294.24</v>
      </c>
      <c r="J14" s="387"/>
      <c r="K14" s="386"/>
      <c r="L14" s="386"/>
      <c r="M14" s="386"/>
      <c r="N14" s="386"/>
      <c r="O14" s="166" t="s">
        <v>201</v>
      </c>
    </row>
    <row r="15" spans="1:15" x14ac:dyDescent="0.2">
      <c r="B15" s="363" t="s">
        <v>104</v>
      </c>
      <c r="C15" s="360">
        <v>396338.12</v>
      </c>
      <c r="D15" s="360">
        <v>404172.44</v>
      </c>
      <c r="E15" s="360">
        <v>838115.67</v>
      </c>
      <c r="F15" s="360">
        <v>1666575.78</v>
      </c>
      <c r="G15" s="360">
        <v>2551892.25</v>
      </c>
      <c r="H15" s="360">
        <v>1895264.42</v>
      </c>
      <c r="I15" s="360">
        <v>1664042.64</v>
      </c>
      <c r="J15" s="387"/>
      <c r="K15" s="386"/>
      <c r="L15" s="386"/>
      <c r="M15" s="386"/>
      <c r="N15" s="386"/>
      <c r="O15" s="166" t="s">
        <v>201</v>
      </c>
    </row>
    <row r="16" spans="1:15" x14ac:dyDescent="0.2">
      <c r="C16" s="1"/>
      <c r="D16" s="1"/>
      <c r="E16" s="1"/>
      <c r="F16" s="1"/>
      <c r="G16" s="1"/>
      <c r="H16" s="1"/>
      <c r="I16" s="1"/>
    </row>
    <row r="17" spans="1:15" x14ac:dyDescent="0.2">
      <c r="A17" s="166" t="s">
        <v>144</v>
      </c>
      <c r="B17" s="167" t="s">
        <v>150</v>
      </c>
    </row>
    <row r="19" spans="1:15" x14ac:dyDescent="0.2">
      <c r="B19" s="166" t="s">
        <v>151</v>
      </c>
      <c r="C19" s="343" t="s">
        <v>191</v>
      </c>
      <c r="D19" s="347"/>
    </row>
    <row r="20" spans="1:15" x14ac:dyDescent="0.2">
      <c r="B20" s="16" t="s">
        <v>141</v>
      </c>
      <c r="C20" s="388">
        <v>1680257.3918544867</v>
      </c>
      <c r="D20" s="344" t="s">
        <v>152</v>
      </c>
      <c r="E20" s="166" t="s">
        <v>202</v>
      </c>
    </row>
    <row r="21" spans="1:15" x14ac:dyDescent="0.2">
      <c r="B21" s="16" t="s">
        <v>100</v>
      </c>
      <c r="C21" s="388">
        <f>(3610294346-1229590)/1000</f>
        <v>3609064.7560000001</v>
      </c>
      <c r="D21" s="344" t="s">
        <v>152</v>
      </c>
      <c r="E21" s="166" t="s">
        <v>215</v>
      </c>
    </row>
    <row r="23" spans="1:15" ht="15" x14ac:dyDescent="0.25">
      <c r="A23" s="166" t="s">
        <v>153</v>
      </c>
      <c r="B23" s="167" t="s">
        <v>161</v>
      </c>
      <c r="C23" s="368" t="s">
        <v>194</v>
      </c>
      <c r="D23" s="368"/>
      <c r="E23" s="368"/>
      <c r="F23" s="368"/>
      <c r="G23" s="368"/>
      <c r="H23" s="368"/>
      <c r="I23" s="368"/>
      <c r="J23" s="368"/>
    </row>
    <row r="24" spans="1:15" ht="15" x14ac:dyDescent="0.25">
      <c r="C24" s="368"/>
      <c r="D24" s="368"/>
      <c r="E24" s="368"/>
      <c r="F24" s="368"/>
      <c r="G24" s="368"/>
      <c r="H24" s="368"/>
      <c r="I24" s="368"/>
      <c r="J24" s="368"/>
    </row>
    <row r="25" spans="1:15" x14ac:dyDescent="0.2">
      <c r="B25" s="361" t="s">
        <v>159</v>
      </c>
    </row>
    <row r="26" spans="1:15" x14ac:dyDescent="0.2">
      <c r="B26" s="362" t="s">
        <v>154</v>
      </c>
      <c r="C26" s="353">
        <v>0</v>
      </c>
      <c r="D26" s="353">
        <v>0</v>
      </c>
      <c r="E26" s="353">
        <v>0</v>
      </c>
      <c r="F26" s="353">
        <v>0</v>
      </c>
      <c r="G26" s="353">
        <v>0</v>
      </c>
      <c r="H26" s="353">
        <v>0</v>
      </c>
      <c r="I26" s="353">
        <v>0</v>
      </c>
      <c r="J26" s="389"/>
      <c r="K26" s="389"/>
      <c r="L26" s="389"/>
      <c r="M26" s="389"/>
      <c r="N26" s="389"/>
      <c r="O26" s="166"/>
    </row>
    <row r="27" spans="1:15" x14ac:dyDescent="0.2">
      <c r="B27" s="362" t="s">
        <v>155</v>
      </c>
      <c r="C27" s="359">
        <v>0</v>
      </c>
      <c r="D27" s="359">
        <v>0</v>
      </c>
      <c r="E27" s="359">
        <v>0</v>
      </c>
      <c r="F27" s="359">
        <v>0</v>
      </c>
      <c r="G27" s="359">
        <v>0</v>
      </c>
      <c r="H27" s="359">
        <v>0</v>
      </c>
      <c r="I27" s="359">
        <v>0</v>
      </c>
      <c r="J27" s="389">
        <v>0</v>
      </c>
      <c r="K27" s="389">
        <v>0</v>
      </c>
      <c r="L27" s="389">
        <v>0</v>
      </c>
      <c r="M27" s="389">
        <v>0</v>
      </c>
      <c r="N27" s="389">
        <v>0</v>
      </c>
      <c r="O27" s="166"/>
    </row>
    <row r="29" spans="1:15" x14ac:dyDescent="0.2">
      <c r="B29" s="166" t="s">
        <v>156</v>
      </c>
      <c r="C29" s="343" t="s">
        <v>203</v>
      </c>
      <c r="D29" s="347"/>
      <c r="E29" s="347"/>
      <c r="F29" s="347"/>
    </row>
    <row r="30" spans="1:15" x14ac:dyDescent="0.2">
      <c r="B30" s="166" t="s">
        <v>157</v>
      </c>
      <c r="C30" s="357" t="s">
        <v>14</v>
      </c>
      <c r="D30" s="357" t="s">
        <v>15</v>
      </c>
      <c r="E30" s="357" t="s">
        <v>16</v>
      </c>
    </row>
    <row r="31" spans="1:15" x14ac:dyDescent="0.2">
      <c r="B31" s="166" t="s">
        <v>147</v>
      </c>
      <c r="C31" s="346">
        <v>2017</v>
      </c>
      <c r="D31" s="346">
        <v>2017</v>
      </c>
      <c r="E31" s="346">
        <v>2017</v>
      </c>
    </row>
    <row r="32" spans="1:15" x14ac:dyDescent="0.2">
      <c r="B32" s="166" t="s">
        <v>158</v>
      </c>
      <c r="C32" s="346" t="s">
        <v>30</v>
      </c>
      <c r="D32" s="346" t="s">
        <v>30</v>
      </c>
      <c r="E32" s="346" t="s">
        <v>30</v>
      </c>
    </row>
    <row r="34" spans="1:15" x14ac:dyDescent="0.2">
      <c r="A34" s="166"/>
      <c r="B34" s="362" t="s">
        <v>154</v>
      </c>
      <c r="C34" s="457">
        <v>0</v>
      </c>
      <c r="D34" s="457">
        <v>0</v>
      </c>
      <c r="E34" s="457">
        <v>0</v>
      </c>
    </row>
    <row r="35" spans="1:15" x14ac:dyDescent="0.2">
      <c r="B35" s="362" t="s">
        <v>155</v>
      </c>
      <c r="C35" s="457">
        <v>0</v>
      </c>
      <c r="D35" s="457">
        <v>0</v>
      </c>
      <c r="E35" s="457">
        <v>0</v>
      </c>
    </row>
    <row r="37" spans="1:15" x14ac:dyDescent="0.2">
      <c r="A37" s="166" t="s">
        <v>144</v>
      </c>
      <c r="B37" s="167" t="s">
        <v>160</v>
      </c>
      <c r="C37" s="375" t="s">
        <v>197</v>
      </c>
      <c r="D37" s="376"/>
    </row>
    <row r="38" spans="1:15" x14ac:dyDescent="0.2">
      <c r="B38" s="372" t="s">
        <v>195</v>
      </c>
      <c r="C38" s="1"/>
    </row>
    <row r="39" spans="1:15" x14ac:dyDescent="0.2">
      <c r="B39" s="374" t="s">
        <v>4</v>
      </c>
      <c r="C39" s="147">
        <v>1309957.47</v>
      </c>
      <c r="D39" s="166" t="s">
        <v>196</v>
      </c>
    </row>
    <row r="40" spans="1:15" x14ac:dyDescent="0.2">
      <c r="B40" s="374" t="s">
        <v>3</v>
      </c>
      <c r="C40" s="147">
        <v>538799.19999999995</v>
      </c>
      <c r="D40" s="166" t="s">
        <v>196</v>
      </c>
    </row>
    <row r="41" spans="1:15" x14ac:dyDescent="0.2">
      <c r="B41" s="371"/>
    </row>
    <row r="42" spans="1:15" x14ac:dyDescent="0.2">
      <c r="A42" s="166" t="s">
        <v>144</v>
      </c>
      <c r="B42" s="361" t="s">
        <v>162</v>
      </c>
    </row>
    <row r="44" spans="1:15" x14ac:dyDescent="0.2">
      <c r="B44" s="364" t="s">
        <v>34</v>
      </c>
      <c r="C44" s="358">
        <v>3300744084</v>
      </c>
      <c r="D44" s="358">
        <v>2989918695</v>
      </c>
      <c r="E44" s="358">
        <v>3404065757</v>
      </c>
      <c r="F44" s="358">
        <v>3698168496</v>
      </c>
      <c r="G44" s="358">
        <v>3335747512</v>
      </c>
      <c r="H44" s="358">
        <v>3107063535</v>
      </c>
      <c r="I44" s="358">
        <v>3126423120</v>
      </c>
      <c r="J44" s="394">
        <v>2915906704.0919876</v>
      </c>
      <c r="K44" s="394">
        <v>3518394181.7312179</v>
      </c>
      <c r="L44" s="394">
        <v>4210660795.6369905</v>
      </c>
      <c r="M44" s="394">
        <v>4178245410.6118913</v>
      </c>
      <c r="N44" s="394">
        <v>3812992131.4039016</v>
      </c>
      <c r="O44" s="166" t="s">
        <v>187</v>
      </c>
    </row>
    <row r="45" spans="1:15" x14ac:dyDescent="0.2">
      <c r="B45" s="362" t="s">
        <v>38</v>
      </c>
      <c r="C45" s="343">
        <v>1.3910000000000001E-3</v>
      </c>
      <c r="D45" s="343">
        <v>1.3910000000000001E-3</v>
      </c>
      <c r="E45" s="343">
        <v>1.3910000000000001E-3</v>
      </c>
      <c r="F45" s="343">
        <v>1.3910000000000001E-3</v>
      </c>
      <c r="G45" s="343">
        <v>1.3910000000000001E-3</v>
      </c>
      <c r="H45" s="343">
        <v>1.3910000000000001E-3</v>
      </c>
      <c r="I45" s="343">
        <v>1.3910000000000001E-3</v>
      </c>
      <c r="J45" s="343">
        <v>1.3910000000000001E-3</v>
      </c>
      <c r="K45" s="343">
        <v>1.3910000000000001E-3</v>
      </c>
      <c r="L45" s="343">
        <v>1.3910000000000001E-3</v>
      </c>
      <c r="M45" s="343">
        <v>1.3910000000000001E-3</v>
      </c>
      <c r="N45" s="343">
        <v>1.3910000000000001E-3</v>
      </c>
      <c r="O45" s="166" t="s">
        <v>192</v>
      </c>
    </row>
    <row r="46" spans="1:15" x14ac:dyDescent="0.2">
      <c r="C46" s="1">
        <f>C44*C45</f>
        <v>4591335.0208440004</v>
      </c>
      <c r="D46" s="1">
        <f>D44*D45</f>
        <v>4158976.9047450004</v>
      </c>
      <c r="E46" s="1">
        <f>E44*E45</f>
        <v>4735055.467987</v>
      </c>
      <c r="F46" s="1">
        <f t="shared" ref="F46:I46" si="0">F44*F45</f>
        <v>5144152.377936</v>
      </c>
      <c r="G46" s="1">
        <f t="shared" si="0"/>
        <v>4640024.7891920004</v>
      </c>
      <c r="H46" s="1">
        <f t="shared" si="0"/>
        <v>4321925.3771850001</v>
      </c>
      <c r="I46" s="1">
        <f t="shared" si="0"/>
        <v>4348854.5599199999</v>
      </c>
      <c r="J46" s="1">
        <f t="shared" ref="J46" si="1">J44*J45</f>
        <v>4056026.2253919551</v>
      </c>
      <c r="K46" s="1">
        <f t="shared" ref="K46" si="2">K44*K45</f>
        <v>4894086.3067881241</v>
      </c>
      <c r="L46" s="1">
        <f t="shared" ref="L46" si="3">L44*L45</f>
        <v>5857029.166731054</v>
      </c>
      <c r="M46" s="1">
        <f t="shared" ref="M46" si="4">M44*M45</f>
        <v>5811939.3661611415</v>
      </c>
      <c r="N46" s="1">
        <f t="shared" ref="N46" si="5">N44*N45</f>
        <v>5303872.0547828274</v>
      </c>
    </row>
    <row r="47" spans="1:15" x14ac:dyDescent="0.2">
      <c r="A47" s="166" t="s">
        <v>144</v>
      </c>
      <c r="B47" s="167" t="s">
        <v>163</v>
      </c>
    </row>
    <row r="49" spans="1:15" x14ac:dyDescent="0.2">
      <c r="B49" s="364" t="s">
        <v>34</v>
      </c>
      <c r="C49" s="358">
        <v>87863574.488000005</v>
      </c>
      <c r="D49" s="358">
        <v>182199058.15900004</v>
      </c>
      <c r="E49" s="358">
        <v>362299082.87400001</v>
      </c>
      <c r="F49" s="358">
        <v>554759185.37299991</v>
      </c>
      <c r="G49" s="358">
        <v>412014004.30799997</v>
      </c>
      <c r="H49" s="358">
        <v>361748399.52499998</v>
      </c>
      <c r="I49" s="358">
        <v>357869497.44199997</v>
      </c>
      <c r="J49" s="394">
        <v>156433685</v>
      </c>
      <c r="K49" s="394">
        <v>122570765</v>
      </c>
      <c r="L49" s="394">
        <v>101481597</v>
      </c>
      <c r="M49" s="394">
        <v>92528706</v>
      </c>
      <c r="N49" s="394">
        <v>96492555</v>
      </c>
      <c r="O49" s="166" t="s">
        <v>187</v>
      </c>
    </row>
    <row r="50" spans="1:15" x14ac:dyDescent="0.2">
      <c r="B50" s="362" t="s">
        <v>38</v>
      </c>
      <c r="C50" s="343">
        <v>3.5999999999999999E-3</v>
      </c>
      <c r="D50" s="343">
        <v>3.5999999999999999E-3</v>
      </c>
      <c r="E50" s="343">
        <v>3.5999999999999999E-3</v>
      </c>
      <c r="F50" s="343">
        <v>3.5999999999999999E-3</v>
      </c>
      <c r="G50" s="343">
        <v>3.5999999999999999E-3</v>
      </c>
      <c r="H50" s="343">
        <v>3.5999999999999999E-3</v>
      </c>
      <c r="I50" s="343">
        <v>3.5999999999999999E-3</v>
      </c>
      <c r="J50" s="343">
        <f>I50</f>
        <v>3.5999999999999999E-3</v>
      </c>
      <c r="K50" s="343">
        <f t="shared" ref="K50:N50" si="6">J50</f>
        <v>3.5999999999999999E-3</v>
      </c>
      <c r="L50" s="343">
        <f t="shared" si="6"/>
        <v>3.5999999999999999E-3</v>
      </c>
      <c r="M50" s="343">
        <f t="shared" si="6"/>
        <v>3.5999999999999999E-3</v>
      </c>
      <c r="N50" s="343">
        <f t="shared" si="6"/>
        <v>3.5999999999999999E-3</v>
      </c>
      <c r="O50" s="166" t="s">
        <v>192</v>
      </c>
    </row>
    <row r="51" spans="1:15" x14ac:dyDescent="0.2">
      <c r="C51">
        <f>C49*C50</f>
        <v>316308.86815679999</v>
      </c>
      <c r="D51">
        <f>D49*D50</f>
        <v>655916.6093724001</v>
      </c>
      <c r="E51">
        <f t="shared" ref="E51:N51" si="7">E49*E50</f>
        <v>1304276.6983463999</v>
      </c>
      <c r="F51">
        <f t="shared" si="7"/>
        <v>1997133.0673427996</v>
      </c>
      <c r="G51">
        <f t="shared" si="7"/>
        <v>1483250.4155088</v>
      </c>
      <c r="H51">
        <f t="shared" si="7"/>
        <v>1302294.2382899998</v>
      </c>
      <c r="I51">
        <f t="shared" si="7"/>
        <v>1288330.1907911999</v>
      </c>
      <c r="J51">
        <f t="shared" si="7"/>
        <v>563161.26599999995</v>
      </c>
      <c r="K51">
        <f t="shared" si="7"/>
        <v>441254.75400000002</v>
      </c>
      <c r="L51">
        <f t="shared" si="7"/>
        <v>365333.74919999996</v>
      </c>
      <c r="M51">
        <f t="shared" si="7"/>
        <v>333103.34159999999</v>
      </c>
      <c r="N51">
        <f t="shared" si="7"/>
        <v>347373.19799999997</v>
      </c>
    </row>
    <row r="52" spans="1:15" x14ac:dyDescent="0.2">
      <c r="A52" s="166" t="s">
        <v>144</v>
      </c>
      <c r="B52" s="167" t="s">
        <v>164</v>
      </c>
    </row>
    <row r="53" spans="1:15" x14ac:dyDescent="0.2">
      <c r="A53" s="166"/>
      <c r="B53" s="167"/>
    </row>
    <row r="54" spans="1:15" x14ac:dyDescent="0.2">
      <c r="B54" s="166" t="s">
        <v>147</v>
      </c>
      <c r="C54" s="351">
        <v>2018</v>
      </c>
      <c r="D54" s="351">
        <v>2018</v>
      </c>
      <c r="E54" s="351">
        <v>2018</v>
      </c>
      <c r="F54" s="351">
        <v>2019</v>
      </c>
      <c r="G54" s="351">
        <v>2019</v>
      </c>
      <c r="H54" s="351">
        <v>2019</v>
      </c>
      <c r="I54" s="351">
        <v>2019</v>
      </c>
      <c r="J54" s="351">
        <v>2019</v>
      </c>
      <c r="K54" s="351">
        <v>2019</v>
      </c>
      <c r="L54" s="351">
        <v>2019</v>
      </c>
      <c r="M54" s="351">
        <v>2019</v>
      </c>
      <c r="N54" s="351">
        <v>2019</v>
      </c>
    </row>
    <row r="55" spans="1:15" x14ac:dyDescent="0.2">
      <c r="B55" s="166" t="s">
        <v>157</v>
      </c>
      <c r="C55" s="346" t="s">
        <v>17</v>
      </c>
      <c r="D55" s="346" t="s">
        <v>18</v>
      </c>
      <c r="E55" s="346" t="s">
        <v>19</v>
      </c>
      <c r="F55" s="346" t="s">
        <v>20</v>
      </c>
      <c r="G55" s="346" t="s">
        <v>21</v>
      </c>
      <c r="H55" s="346" t="s">
        <v>22</v>
      </c>
      <c r="I55" s="346" t="s">
        <v>23</v>
      </c>
      <c r="J55" s="346" t="s">
        <v>24</v>
      </c>
      <c r="K55" s="346" t="s">
        <v>25</v>
      </c>
      <c r="L55" s="346" t="s">
        <v>14</v>
      </c>
      <c r="M55" s="346" t="s">
        <v>15</v>
      </c>
      <c r="N55" s="346" t="s">
        <v>16</v>
      </c>
    </row>
    <row r="57" spans="1:15" x14ac:dyDescent="0.2">
      <c r="B57" s="166" t="s">
        <v>167</v>
      </c>
    </row>
    <row r="58" spans="1:15" x14ac:dyDescent="0.2">
      <c r="B58" s="362" t="s">
        <v>165</v>
      </c>
      <c r="C58" s="366">
        <v>121891.00399999999</v>
      </c>
      <c r="D58" s="366">
        <v>224098.66400000002</v>
      </c>
      <c r="E58" s="366">
        <v>365055.42300000001</v>
      </c>
      <c r="F58" s="366">
        <v>463472.73400000005</v>
      </c>
      <c r="G58" s="366">
        <v>479540.01</v>
      </c>
      <c r="H58" s="366">
        <v>411044.38100000005</v>
      </c>
      <c r="I58" s="366">
        <v>270742.62599999999</v>
      </c>
      <c r="J58" s="366">
        <v>158472.329</v>
      </c>
      <c r="K58" s="366">
        <v>122660.681</v>
      </c>
      <c r="L58" s="366">
        <v>101726.93</v>
      </c>
      <c r="M58" s="366">
        <v>92746.383999999991</v>
      </c>
      <c r="N58" s="366">
        <v>96799.313999999998</v>
      </c>
      <c r="O58" s="166" t="s">
        <v>187</v>
      </c>
    </row>
    <row r="59" spans="1:15" x14ac:dyDescent="0.2">
      <c r="B59" s="362" t="s">
        <v>166</v>
      </c>
      <c r="C59" s="367">
        <v>3151971633.1688819</v>
      </c>
      <c r="D59" s="367">
        <v>2951580920.468256</v>
      </c>
      <c r="E59" s="367">
        <v>3354644994.4719505</v>
      </c>
      <c r="F59" s="367">
        <v>3534714322.9234424</v>
      </c>
      <c r="G59" s="367">
        <v>3398390443.0130844</v>
      </c>
      <c r="H59" s="367">
        <v>3259906741.7825708</v>
      </c>
      <c r="I59" s="367">
        <v>2960421617.7629552</v>
      </c>
      <c r="J59" s="367">
        <v>2947589321.8570528</v>
      </c>
      <c r="K59" s="367">
        <v>3550873221.4225693</v>
      </c>
      <c r="L59" s="367">
        <v>4262165286.7839632</v>
      </c>
      <c r="M59" s="367">
        <v>4225463927.6629272</v>
      </c>
      <c r="N59" s="367">
        <v>3833547154.9444094</v>
      </c>
      <c r="O59" s="166" t="s">
        <v>187</v>
      </c>
    </row>
    <row r="61" spans="1:15" x14ac:dyDescent="0.2">
      <c r="A61" s="166" t="s">
        <v>144</v>
      </c>
      <c r="B61" s="167" t="s">
        <v>168</v>
      </c>
    </row>
    <row r="62" spans="1:15" x14ac:dyDescent="0.2">
      <c r="J62" s="171"/>
    </row>
    <row r="63" spans="1:15" x14ac:dyDescent="0.2">
      <c r="B63" s="364" t="s">
        <v>131</v>
      </c>
      <c r="C63" s="356">
        <v>-3.9563019527122378E-11</v>
      </c>
      <c r="D63" s="478">
        <v>7883560.1944616493</v>
      </c>
      <c r="E63" s="356">
        <v>5592091.7000000002</v>
      </c>
      <c r="F63" s="356">
        <v>4653080.1100000003</v>
      </c>
      <c r="G63" s="356">
        <v>5121263.16</v>
      </c>
      <c r="H63" s="356">
        <v>5899504.4400000004</v>
      </c>
      <c r="I63" s="356">
        <v>5108228.68</v>
      </c>
      <c r="J63" s="356">
        <v>4624480</v>
      </c>
      <c r="K63" s="458"/>
      <c r="L63" s="458"/>
      <c r="M63" s="458"/>
      <c r="N63" s="458"/>
      <c r="O63" t="s">
        <v>186</v>
      </c>
    </row>
    <row r="64" spans="1:15" x14ac:dyDescent="0.2">
      <c r="B64" s="365" t="s">
        <v>26</v>
      </c>
      <c r="C64" s="356">
        <v>5470330.0099999988</v>
      </c>
      <c r="D64" s="356">
        <v>5160123.7299999995</v>
      </c>
      <c r="E64" s="356">
        <v>4946404.1900000004</v>
      </c>
      <c r="F64" s="356">
        <v>5274294.8299999982</v>
      </c>
      <c r="G64" s="356">
        <v>4444559.62</v>
      </c>
      <c r="H64" s="356">
        <v>4845734.9000000013</v>
      </c>
      <c r="I64" s="356">
        <v>4873220.3599999994</v>
      </c>
      <c r="J64" s="390">
        <f>I64</f>
        <v>4873220.3599999994</v>
      </c>
      <c r="K64" s="390">
        <f t="shared" ref="K64:N64" si="8">J64</f>
        <v>4873220.3599999994</v>
      </c>
      <c r="L64" s="390">
        <f t="shared" si="8"/>
        <v>4873220.3599999994</v>
      </c>
      <c r="M64" s="390">
        <f t="shared" si="8"/>
        <v>4873220.3599999994</v>
      </c>
      <c r="N64" s="390">
        <f t="shared" si="8"/>
        <v>4873220.3599999994</v>
      </c>
      <c r="O64" s="166" t="s">
        <v>189</v>
      </c>
    </row>
    <row r="65" spans="1:15" x14ac:dyDescent="0.2">
      <c r="B65" s="365" t="s">
        <v>55</v>
      </c>
      <c r="C65" s="356">
        <v>162867.30240000002</v>
      </c>
      <c r="D65" s="356">
        <v>182704.5056</v>
      </c>
      <c r="E65" s="356">
        <v>171510.82239999998</v>
      </c>
      <c r="F65" s="356">
        <v>177094.77759999997</v>
      </c>
      <c r="G65" s="356">
        <v>173268.8</v>
      </c>
      <c r="H65" s="356">
        <v>177881.83679999999</v>
      </c>
      <c r="I65" s="356">
        <v>171282.52800000002</v>
      </c>
      <c r="J65" s="390">
        <f>I65</f>
        <v>171282.52800000002</v>
      </c>
      <c r="K65" s="390">
        <f t="shared" ref="K65:N65" si="9">J65</f>
        <v>171282.52800000002</v>
      </c>
      <c r="L65" s="390">
        <f t="shared" si="9"/>
        <v>171282.52800000002</v>
      </c>
      <c r="M65" s="390">
        <f t="shared" si="9"/>
        <v>171282.52800000002</v>
      </c>
      <c r="N65" s="390">
        <f t="shared" si="9"/>
        <v>171282.52800000002</v>
      </c>
      <c r="O65" s="166" t="s">
        <v>189</v>
      </c>
    </row>
    <row r="66" spans="1:15" x14ac:dyDescent="0.2">
      <c r="C66" s="473"/>
      <c r="D66" s="473"/>
      <c r="E66" s="473"/>
      <c r="F66" s="473"/>
      <c r="G66" s="473"/>
      <c r="H66" s="473"/>
      <c r="I66" s="473"/>
    </row>
    <row r="67" spans="1:15" x14ac:dyDescent="0.2">
      <c r="B67" s="364" t="s">
        <v>118</v>
      </c>
      <c r="C67" s="459">
        <v>-15810510.679597981</v>
      </c>
      <c r="D67" s="354" t="s">
        <v>56</v>
      </c>
    </row>
    <row r="68" spans="1:15" x14ac:dyDescent="0.2">
      <c r="B68" s="365" t="s">
        <v>27</v>
      </c>
      <c r="C68" s="459">
        <v>-38750.680730518186</v>
      </c>
      <c r="D68" s="355" t="s">
        <v>114</v>
      </c>
    </row>
    <row r="69" spans="1:15" x14ac:dyDescent="0.2">
      <c r="B69" s="362" t="s">
        <v>169</v>
      </c>
      <c r="C69" s="460">
        <v>0.28110000000000002</v>
      </c>
      <c r="D69" s="347" t="s">
        <v>204</v>
      </c>
      <c r="E69" s="347"/>
    </row>
    <row r="70" spans="1:15" x14ac:dyDescent="0.2">
      <c r="A70" s="170"/>
      <c r="B70" s="362" t="s">
        <v>213</v>
      </c>
      <c r="C70" s="461">
        <v>0.40849999999999997</v>
      </c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</row>
    <row r="71" spans="1:15" x14ac:dyDescent="0.2">
      <c r="B71" s="362" t="s">
        <v>170</v>
      </c>
      <c r="C71" s="348">
        <v>2.0899999999999998E-2</v>
      </c>
      <c r="D71" s="348">
        <v>2.2099999999999998E-2</v>
      </c>
      <c r="E71" s="348">
        <v>2.3799999999999998E-2</v>
      </c>
      <c r="F71" s="348">
        <v>2.52E-2</v>
      </c>
      <c r="G71" s="348">
        <v>2.7600000000000003E-2</v>
      </c>
      <c r="H71" s="348">
        <v>2.8200000000000003E-2</v>
      </c>
      <c r="I71" s="348">
        <v>2.8500000000000001E-2</v>
      </c>
      <c r="J71" s="391">
        <f>I71</f>
        <v>2.8500000000000001E-2</v>
      </c>
      <c r="K71" s="391">
        <f t="shared" ref="K71:N71" si="10">J71</f>
        <v>2.8500000000000001E-2</v>
      </c>
      <c r="L71" s="391">
        <f t="shared" si="10"/>
        <v>2.8500000000000001E-2</v>
      </c>
      <c r="M71" s="391">
        <f t="shared" si="10"/>
        <v>2.8500000000000001E-2</v>
      </c>
      <c r="N71" s="391">
        <f t="shared" si="10"/>
        <v>2.8500000000000001E-2</v>
      </c>
      <c r="O71" s="166" t="s">
        <v>188</v>
      </c>
    </row>
    <row r="73" spans="1:15" x14ac:dyDescent="0.2">
      <c r="A73" s="166" t="s">
        <v>144</v>
      </c>
      <c r="B73" s="167" t="s">
        <v>171</v>
      </c>
    </row>
    <row r="74" spans="1:15" x14ac:dyDescent="0.2">
      <c r="J74" s="171"/>
    </row>
    <row r="75" spans="1:15" x14ac:dyDescent="0.2">
      <c r="B75" s="364" t="s">
        <v>131</v>
      </c>
      <c r="C75" s="356">
        <v>0</v>
      </c>
      <c r="D75" s="356">
        <v>643991.0334491838</v>
      </c>
      <c r="E75" s="356">
        <v>385958.37</v>
      </c>
      <c r="F75" s="356">
        <v>781922.71</v>
      </c>
      <c r="G75" s="356">
        <v>1490575.12</v>
      </c>
      <c r="H75" s="356">
        <v>2268792.65</v>
      </c>
      <c r="I75" s="356">
        <v>1625488.32</v>
      </c>
      <c r="J75" s="356">
        <v>1485059</v>
      </c>
      <c r="K75" s="390">
        <f t="shared" ref="K75:N75" si="11">J75</f>
        <v>1485059</v>
      </c>
      <c r="L75" s="390">
        <f t="shared" si="11"/>
        <v>1485059</v>
      </c>
      <c r="M75" s="390">
        <f t="shared" si="11"/>
        <v>1485059</v>
      </c>
      <c r="N75" s="390">
        <f t="shared" si="11"/>
        <v>1485059</v>
      </c>
      <c r="O75" t="s">
        <v>186</v>
      </c>
    </row>
    <row r="76" spans="1:15" x14ac:dyDescent="0.2">
      <c r="B76" s="365" t="s">
        <v>26</v>
      </c>
      <c r="C76" s="462">
        <v>1010646.24</v>
      </c>
      <c r="D76" s="462">
        <v>1068130.6500000004</v>
      </c>
      <c r="E76" s="462">
        <v>1039747.7500000002</v>
      </c>
      <c r="F76" s="462">
        <v>1133958.5199999998</v>
      </c>
      <c r="G76" s="462">
        <v>990371.82000000007</v>
      </c>
      <c r="H76" s="462">
        <v>1073867.6300000001</v>
      </c>
      <c r="I76" s="462">
        <v>1096925.1300000001</v>
      </c>
      <c r="J76" s="392">
        <f>I76</f>
        <v>1096925.1300000001</v>
      </c>
      <c r="K76" s="392">
        <f t="shared" ref="K76:N76" si="12">J76</f>
        <v>1096925.1300000001</v>
      </c>
      <c r="L76" s="392">
        <f t="shared" si="12"/>
        <v>1096925.1300000001</v>
      </c>
      <c r="M76" s="392">
        <f t="shared" si="12"/>
        <v>1096925.1300000001</v>
      </c>
      <c r="N76" s="392">
        <f t="shared" si="12"/>
        <v>1096925.1300000001</v>
      </c>
      <c r="O76" s="166" t="s">
        <v>189</v>
      </c>
    </row>
    <row r="77" spans="1:15" x14ac:dyDescent="0.2">
      <c r="B77" s="365" t="s">
        <v>55</v>
      </c>
      <c r="C77" s="356">
        <v>91612.857600000003</v>
      </c>
      <c r="D77" s="356">
        <v>102771.28439999999</v>
      </c>
      <c r="E77" s="356">
        <v>96474.837599999999</v>
      </c>
      <c r="F77" s="356">
        <v>99615.812399999995</v>
      </c>
      <c r="G77" s="356">
        <v>97463.7</v>
      </c>
      <c r="H77" s="356">
        <v>100058.53319999999</v>
      </c>
      <c r="I77" s="356">
        <v>96346.421999999991</v>
      </c>
      <c r="J77" s="390">
        <f>I77</f>
        <v>96346.421999999991</v>
      </c>
      <c r="K77" s="390">
        <f t="shared" ref="K77:N77" si="13">J77</f>
        <v>96346.421999999991</v>
      </c>
      <c r="L77" s="390">
        <f t="shared" si="13"/>
        <v>96346.421999999991</v>
      </c>
      <c r="M77" s="390">
        <f t="shared" si="13"/>
        <v>96346.421999999991</v>
      </c>
      <c r="N77" s="390">
        <f t="shared" si="13"/>
        <v>96346.421999999991</v>
      </c>
      <c r="O77" s="166" t="s">
        <v>189</v>
      </c>
    </row>
    <row r="79" spans="1:15" x14ac:dyDescent="0.2">
      <c r="B79" s="364" t="s">
        <v>118</v>
      </c>
      <c r="C79" s="459">
        <v>-1646965.3555056527</v>
      </c>
      <c r="D79" s="46" t="s">
        <v>56</v>
      </c>
    </row>
    <row r="80" spans="1:15" x14ac:dyDescent="0.2">
      <c r="B80" s="365" t="s">
        <v>27</v>
      </c>
      <c r="C80" s="459">
        <v>15793.899395320333</v>
      </c>
      <c r="D80" s="53" t="s">
        <v>114</v>
      </c>
    </row>
    <row r="81" spans="1:15" x14ac:dyDescent="0.2">
      <c r="B81" s="362" t="s">
        <v>213</v>
      </c>
      <c r="C81" s="461">
        <v>0.40849999999999997</v>
      </c>
      <c r="D81" t="s">
        <v>185</v>
      </c>
    </row>
    <row r="82" spans="1:15" x14ac:dyDescent="0.2">
      <c r="A82" s="170"/>
      <c r="B82" s="447" t="s">
        <v>212</v>
      </c>
      <c r="C82" s="461">
        <v>0.28110000000000002</v>
      </c>
      <c r="D82" t="s">
        <v>204</v>
      </c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</row>
    <row r="83" spans="1:15" x14ac:dyDescent="0.2">
      <c r="B83" s="362" t="s">
        <v>170</v>
      </c>
      <c r="C83" s="349">
        <v>2.0899999999999998E-2</v>
      </c>
      <c r="D83" s="349">
        <v>2.2099999999999998E-2</v>
      </c>
      <c r="E83" s="349">
        <v>2.3799999999999998E-2</v>
      </c>
      <c r="F83" s="349">
        <v>2.52E-2</v>
      </c>
      <c r="G83" s="349">
        <v>2.7600000000000003E-2</v>
      </c>
      <c r="H83" s="349">
        <v>2.8200000000000003E-2</v>
      </c>
      <c r="I83" s="349">
        <v>2.8500000000000001E-2</v>
      </c>
      <c r="J83" s="393">
        <f>I83</f>
        <v>2.8500000000000001E-2</v>
      </c>
      <c r="K83" s="393">
        <f t="shared" ref="K83:N83" si="14">J83</f>
        <v>2.8500000000000001E-2</v>
      </c>
      <c r="L83" s="393">
        <f t="shared" si="14"/>
        <v>2.8500000000000001E-2</v>
      </c>
      <c r="M83" s="393">
        <f t="shared" si="14"/>
        <v>2.8500000000000001E-2</v>
      </c>
      <c r="N83" s="393">
        <f t="shared" si="14"/>
        <v>2.8500000000000001E-2</v>
      </c>
      <c r="O83" s="166" t="s">
        <v>188</v>
      </c>
    </row>
    <row r="85" spans="1:15" x14ac:dyDescent="0.2">
      <c r="A85" s="166" t="s">
        <v>144</v>
      </c>
      <c r="B85" s="167" t="s">
        <v>172</v>
      </c>
    </row>
    <row r="87" spans="1:15" x14ac:dyDescent="0.2">
      <c r="B87" s="166" t="s">
        <v>184</v>
      </c>
      <c r="C87" s="350" t="s">
        <v>205</v>
      </c>
      <c r="D87" s="347"/>
      <c r="E87" s="347"/>
      <c r="F87" s="347"/>
    </row>
    <row r="88" spans="1:15" x14ac:dyDescent="0.2">
      <c r="B88" s="166" t="s">
        <v>176</v>
      </c>
      <c r="C88" s="350" t="s">
        <v>206</v>
      </c>
      <c r="D88" s="347"/>
      <c r="E88" s="347"/>
      <c r="F88" s="347"/>
    </row>
    <row r="89" spans="1:15" x14ac:dyDescent="0.2">
      <c r="B89" s="166" t="s">
        <v>177</v>
      </c>
      <c r="C89" s="350" t="s">
        <v>207</v>
      </c>
      <c r="D89" s="347"/>
      <c r="E89" s="347"/>
      <c r="F89" s="347"/>
    </row>
    <row r="91" spans="1:15" x14ac:dyDescent="0.2">
      <c r="B91" s="67" t="s">
        <v>109</v>
      </c>
      <c r="C91" s="383">
        <v>6513613</v>
      </c>
      <c r="D91" s="166" t="s">
        <v>173</v>
      </c>
      <c r="E91" s="16" t="s">
        <v>190</v>
      </c>
    </row>
    <row r="93" spans="1:15" x14ac:dyDescent="0.2">
      <c r="B93" s="58" t="s">
        <v>179</v>
      </c>
      <c r="C93" s="380">
        <f>C45</f>
        <v>1.3910000000000001E-3</v>
      </c>
      <c r="D93" t="s">
        <v>216</v>
      </c>
      <c r="I93" t="s">
        <v>200</v>
      </c>
    </row>
    <row r="94" spans="1:15" x14ac:dyDescent="0.2">
      <c r="B94" s="58" t="s">
        <v>180</v>
      </c>
      <c r="C94" s="381">
        <f>C50</f>
        <v>3.5999999999999999E-3</v>
      </c>
      <c r="D94" t="s">
        <v>216</v>
      </c>
      <c r="I94" t="s">
        <v>200</v>
      </c>
    </row>
    <row r="95" spans="1:15" x14ac:dyDescent="0.2">
      <c r="B95" s="166" t="s">
        <v>221</v>
      </c>
      <c r="C95" s="475">
        <v>1.0662499999999999</v>
      </c>
    </row>
    <row r="96" spans="1:15" x14ac:dyDescent="0.2">
      <c r="B96" s="16" t="s">
        <v>174</v>
      </c>
      <c r="C96" s="449" t="s">
        <v>208</v>
      </c>
      <c r="D96" s="450"/>
      <c r="E96" s="450"/>
      <c r="F96" s="450"/>
      <c r="G96" s="450"/>
      <c r="H96" s="450"/>
      <c r="I96" s="373"/>
      <c r="J96" s="373"/>
    </row>
    <row r="97" spans="1:10" x14ac:dyDescent="0.2">
      <c r="B97" s="166"/>
      <c r="C97" s="450" t="s">
        <v>124</v>
      </c>
      <c r="D97" s="450"/>
      <c r="E97" s="450"/>
      <c r="F97" s="450"/>
      <c r="G97" s="450"/>
      <c r="H97" s="450"/>
      <c r="I97" s="373"/>
      <c r="J97" s="373"/>
    </row>
    <row r="98" spans="1:10" x14ac:dyDescent="0.2">
      <c r="C98" s="449" t="s">
        <v>137</v>
      </c>
      <c r="D98" s="451"/>
      <c r="E98" s="451"/>
      <c r="F98" s="451"/>
      <c r="G98" s="451"/>
      <c r="H98" s="451"/>
      <c r="I98" s="373"/>
      <c r="J98" s="373"/>
    </row>
    <row r="99" spans="1:10" x14ac:dyDescent="0.2">
      <c r="B99" s="16" t="s">
        <v>175</v>
      </c>
      <c r="C99" s="452" t="s">
        <v>214</v>
      </c>
      <c r="D99" s="450"/>
      <c r="E99" s="451"/>
      <c r="F99" s="451"/>
      <c r="G99" s="451"/>
      <c r="H99" s="451"/>
      <c r="I99" s="373"/>
      <c r="J99" s="373"/>
    </row>
    <row r="100" spans="1:10" x14ac:dyDescent="0.2">
      <c r="A100" s="166" t="s">
        <v>144</v>
      </c>
      <c r="B100" s="167" t="s">
        <v>178</v>
      </c>
      <c r="C100" s="450" t="s">
        <v>121</v>
      </c>
      <c r="D100" s="453"/>
      <c r="E100" s="454"/>
      <c r="F100" s="455"/>
      <c r="G100" s="373"/>
      <c r="H100" s="373"/>
      <c r="I100" s="373"/>
      <c r="J100" s="373"/>
    </row>
    <row r="102" spans="1:10" x14ac:dyDescent="0.2">
      <c r="B102" s="166" t="s">
        <v>184</v>
      </c>
      <c r="C102" s="456" t="s">
        <v>209</v>
      </c>
      <c r="D102" s="373"/>
      <c r="E102" s="373"/>
    </row>
    <row r="104" spans="1:10" x14ac:dyDescent="0.2">
      <c r="B104" s="125" t="s">
        <v>84</v>
      </c>
      <c r="C104" s="384">
        <v>74600000</v>
      </c>
      <c r="D104" s="166" t="s">
        <v>173</v>
      </c>
      <c r="E104" s="166" t="s">
        <v>190</v>
      </c>
    </row>
    <row r="106" spans="1:10" x14ac:dyDescent="0.2">
      <c r="B106" s="58" t="s">
        <v>181</v>
      </c>
      <c r="C106" s="379">
        <v>7.27E-4</v>
      </c>
      <c r="D106" t="s">
        <v>199</v>
      </c>
      <c r="I106" t="s">
        <v>200</v>
      </c>
    </row>
    <row r="107" spans="1:10" x14ac:dyDescent="0.2">
      <c r="B107" s="58" t="s">
        <v>182</v>
      </c>
      <c r="C107" s="381">
        <v>4.5999999999999999E-3</v>
      </c>
      <c r="D107" t="s">
        <v>199</v>
      </c>
      <c r="I107" t="s">
        <v>200</v>
      </c>
    </row>
    <row r="108" spans="1:10" x14ac:dyDescent="0.2">
      <c r="B108" s="166" t="s">
        <v>221</v>
      </c>
      <c r="C108" s="475">
        <v>1.0662499999999999</v>
      </c>
    </row>
    <row r="109" spans="1:10" x14ac:dyDescent="0.2">
      <c r="B109" s="166" t="s">
        <v>174</v>
      </c>
      <c r="C109" s="448" t="s">
        <v>210</v>
      </c>
      <c r="D109" s="373"/>
      <c r="E109" s="373"/>
      <c r="F109" s="373"/>
    </row>
    <row r="110" spans="1:10" x14ac:dyDescent="0.2">
      <c r="B110" s="166"/>
      <c r="C110" s="169"/>
    </row>
    <row r="111" spans="1:10" x14ac:dyDescent="0.2">
      <c r="A111" s="166" t="s">
        <v>144</v>
      </c>
      <c r="B111" s="167" t="s">
        <v>183</v>
      </c>
    </row>
    <row r="113" spans="2:5" x14ac:dyDescent="0.2">
      <c r="B113" s="166" t="s">
        <v>184</v>
      </c>
      <c r="C113" s="448" t="s">
        <v>211</v>
      </c>
      <c r="D113" s="373"/>
      <c r="E113" s="373"/>
    </row>
  </sheetData>
  <protectedRanges>
    <protectedRange sqref="D63" name="Range1" securityDescriptor="O:WDG:WDD:(A;;CC;;;S-1-5-21-1876172974-742851678-1849977318-126664)(A;;CC;;;S-1-5-21-1876172974-742851678-1849977318-17411)(A;;CC;;;S-1-5-21-1876172974-742851678-1849977318-130404)(A;;CC;;;S-1-5-21-1876172974-742851678-1849977318-137880)(A;;CC;;;S-1-5-21-1876172974-742851678-1849977318-60683)(A;;CC;;;S-1-5-21-1876172974-742851678-1849977318-33978)(A;;CC;;;S-1-5-21-1876172974-742851678-1849977318-8288)"/>
  </protectedRanges>
  <pageMargins left="0.7" right="0.7" top="0.75" bottom="0.75" header="0.3" footer="0.3"/>
  <pageSetup scale="4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H24"/>
  <sheetViews>
    <sheetView zoomScaleNormal="100" workbookViewId="0">
      <selection activeCell="E15" sqref="E15"/>
    </sheetView>
  </sheetViews>
  <sheetFormatPr defaultRowHeight="12.75" x14ac:dyDescent="0.2"/>
  <cols>
    <col min="1" max="1" width="3" style="1" customWidth="1"/>
    <col min="2" max="2" width="36.42578125" style="1" customWidth="1"/>
    <col min="3" max="3" width="11" style="1" customWidth="1"/>
    <col min="4" max="4" width="12.7109375" style="1" customWidth="1"/>
    <col min="5" max="5" width="15.42578125" style="1" customWidth="1"/>
    <col min="6" max="7" width="12.7109375" style="1" customWidth="1"/>
    <col min="8" max="16384" width="9.140625" style="1"/>
  </cols>
  <sheetData>
    <row r="1" spans="2:6" x14ac:dyDescent="0.2">
      <c r="B1" s="125"/>
      <c r="C1" s="125"/>
      <c r="D1" s="126" t="str">
        <f>'PS INPUTS'!C102</f>
        <v>Lifeline calculation of rates as of 10/1/18</v>
      </c>
    </row>
    <row r="2" spans="2:6" x14ac:dyDescent="0.2">
      <c r="B2" s="125"/>
      <c r="C2" s="125"/>
      <c r="D2" s="126"/>
    </row>
    <row r="3" spans="2:6" x14ac:dyDescent="0.2">
      <c r="B3" s="125"/>
      <c r="C3" s="125"/>
      <c r="D3" s="126" t="s">
        <v>3</v>
      </c>
      <c r="E3" s="126" t="s">
        <v>4</v>
      </c>
      <c r="F3" s="126" t="s">
        <v>1</v>
      </c>
    </row>
    <row r="4" spans="2:6" x14ac:dyDescent="0.2">
      <c r="B4" s="1" t="s">
        <v>57</v>
      </c>
      <c r="C4" s="125"/>
      <c r="D4" s="130">
        <f>+'lifeline allocation'!C20</f>
        <v>0.32</v>
      </c>
      <c r="E4" s="131">
        <f>+'lifeline allocation'!C21</f>
        <v>0.68</v>
      </c>
      <c r="F4" s="132">
        <f>D4+E4</f>
        <v>1</v>
      </c>
    </row>
    <row r="5" spans="2:6" x14ac:dyDescent="0.2">
      <c r="B5" s="62"/>
      <c r="C5" s="62"/>
      <c r="D5" s="62"/>
      <c r="E5" s="133"/>
      <c r="F5" s="134"/>
    </row>
    <row r="6" spans="2:6" x14ac:dyDescent="0.2">
      <c r="B6" s="125" t="s">
        <v>84</v>
      </c>
      <c r="C6" s="21" t="s">
        <v>62</v>
      </c>
      <c r="D6" s="135">
        <f>D4*F6</f>
        <v>23872000</v>
      </c>
      <c r="E6" s="135">
        <f>F6-D6</f>
        <v>50728000</v>
      </c>
      <c r="F6" s="163">
        <f>'PS INPUTS'!C104</f>
        <v>74600000</v>
      </c>
    </row>
    <row r="7" spans="2:6" x14ac:dyDescent="0.2">
      <c r="B7" s="125"/>
      <c r="C7" s="21"/>
      <c r="D7" s="47"/>
      <c r="E7" s="47"/>
      <c r="F7" s="47"/>
    </row>
    <row r="8" spans="2:6" x14ac:dyDescent="0.2">
      <c r="B8" s="125" t="s">
        <v>119</v>
      </c>
      <c r="C8" s="21" t="s">
        <v>41</v>
      </c>
      <c r="D8" s="136">
        <f>'USF Rate Calc'!D21</f>
        <v>4674718157.6319113</v>
      </c>
      <c r="E8" s="136">
        <f>'USF Rate Calc'!E21</f>
        <v>71821717381.672775</v>
      </c>
      <c r="F8" s="47"/>
    </row>
    <row r="9" spans="2:6" x14ac:dyDescent="0.2">
      <c r="B9" s="125"/>
      <c r="C9" s="21"/>
      <c r="D9" s="47"/>
      <c r="E9" s="47"/>
      <c r="F9" s="47"/>
    </row>
    <row r="10" spans="2:6" x14ac:dyDescent="0.2">
      <c r="B10" s="125" t="s">
        <v>72</v>
      </c>
      <c r="C10" s="21" t="s">
        <v>63</v>
      </c>
      <c r="D10" s="137">
        <f>ROUND(D6/D8,4)</f>
        <v>5.1000000000000004E-3</v>
      </c>
      <c r="E10" s="138">
        <f>ROUND(E6/E8,6)</f>
        <v>7.0600000000000003E-4</v>
      </c>
      <c r="F10" s="47"/>
    </row>
    <row r="11" spans="2:6" x14ac:dyDescent="0.2">
      <c r="B11" s="125" t="s">
        <v>74</v>
      </c>
      <c r="C11" s="21" t="s">
        <v>64</v>
      </c>
      <c r="D11" s="77">
        <f>'PS INPUTS'!C107</f>
        <v>4.5999999999999999E-3</v>
      </c>
      <c r="E11" s="78">
        <f>'PS INPUTS'!C106</f>
        <v>7.27E-4</v>
      </c>
      <c r="F11" s="46"/>
    </row>
    <row r="12" spans="2:6" x14ac:dyDescent="0.2">
      <c r="B12" s="125"/>
      <c r="C12" s="21"/>
    </row>
    <row r="13" spans="2:6" x14ac:dyDescent="0.2">
      <c r="B13" s="125" t="s">
        <v>67</v>
      </c>
      <c r="C13" s="21" t="s">
        <v>65</v>
      </c>
      <c r="D13" s="80">
        <f>D10-D11</f>
        <v>5.0000000000000044E-4</v>
      </c>
      <c r="E13" s="81">
        <f>E10-E11</f>
        <v>-2.0999999999999968E-5</v>
      </c>
    </row>
    <row r="14" spans="2:6" x14ac:dyDescent="0.2">
      <c r="B14" s="125"/>
      <c r="C14" s="21"/>
      <c r="D14" s="80"/>
      <c r="E14" s="81"/>
    </row>
    <row r="15" spans="2:6" x14ac:dyDescent="0.2">
      <c r="B15" s="125" t="s">
        <v>50</v>
      </c>
      <c r="C15" s="474" t="s">
        <v>219</v>
      </c>
      <c r="D15" s="80">
        <f>ROUND(D10*'PS INPUTS'!C108,4)</f>
        <v>5.4000000000000003E-3</v>
      </c>
      <c r="E15" s="81">
        <f>ROUND(E10*'PS INPUTS'!C108,6)</f>
        <v>7.5299999999999998E-4</v>
      </c>
    </row>
    <row r="16" spans="2:6" x14ac:dyDescent="0.2">
      <c r="B16" s="125" t="s">
        <v>60</v>
      </c>
      <c r="C16" s="474" t="s">
        <v>220</v>
      </c>
      <c r="D16" s="80">
        <f>ROUND(D11*'PS INPUTS'!C108,4)</f>
        <v>4.8999999999999998E-3</v>
      </c>
      <c r="E16" s="81">
        <f>ROUND(E11*'PS INPUTS'!C108,6)</f>
        <v>7.7499999999999997E-4</v>
      </c>
    </row>
    <row r="17" spans="2:8" x14ac:dyDescent="0.2">
      <c r="B17" s="125"/>
      <c r="C17" s="21"/>
      <c r="D17" s="80"/>
      <c r="E17" s="81"/>
    </row>
    <row r="18" spans="2:8" x14ac:dyDescent="0.2">
      <c r="B18" s="127" t="s">
        <v>58</v>
      </c>
      <c r="C18" s="4" t="s">
        <v>66</v>
      </c>
      <c r="D18" s="128">
        <f>+D15-D16</f>
        <v>5.0000000000000044E-4</v>
      </c>
      <c r="E18" s="129">
        <f>+E15-E16</f>
        <v>-2.1999999999999993E-5</v>
      </c>
    </row>
    <row r="19" spans="2:8" x14ac:dyDescent="0.2">
      <c r="D19" s="80"/>
      <c r="E19" s="81"/>
    </row>
    <row r="20" spans="2:8" x14ac:dyDescent="0.2">
      <c r="B20" s="12" t="str">
        <f>'PS INPUTS'!C109</f>
        <v>* Normalized jurisdictional volumes for 12 mos beginning 10/1/18.</v>
      </c>
    </row>
    <row r="21" spans="2:8" x14ac:dyDescent="0.2">
      <c r="D21" s="139"/>
    </row>
    <row r="23" spans="2:8" x14ac:dyDescent="0.2">
      <c r="D23" s="80"/>
      <c r="H23" s="1">
        <v>0</v>
      </c>
    </row>
    <row r="24" spans="2:8" x14ac:dyDescent="0.2">
      <c r="D24" s="81"/>
    </row>
  </sheetData>
  <phoneticPr fontId="0" type="noConversion"/>
  <printOptions horizontalCentered="1"/>
  <pageMargins left="0.75" right="0" top="1.5" bottom="1" header="0.4" footer="0.25"/>
  <pageSetup paperSize="5" orientation="landscape" r:id="rId1"/>
  <headerFooter alignWithMargins="0">
    <oddFooter>&amp;R&amp;"Arial,Bold"&amp;11&amp;F
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42"/>
  <sheetViews>
    <sheetView zoomScaleNormal="100" workbookViewId="0">
      <pane xSplit="2" ySplit="4" topLeftCell="C13" activePane="bottomRight" state="frozen"/>
      <selection activeCell="C30" sqref="C29:C30"/>
      <selection pane="topRight" activeCell="C30" sqref="C29:C30"/>
      <selection pane="bottomLeft" activeCell="C30" sqref="C29:C30"/>
      <selection pane="bottomRight" activeCell="B39" sqref="B39"/>
    </sheetView>
  </sheetViews>
  <sheetFormatPr defaultRowHeight="12.75" x14ac:dyDescent="0.2"/>
  <cols>
    <col min="1" max="1" width="3" style="1" customWidth="1"/>
    <col min="2" max="2" width="44.42578125" style="125" customWidth="1"/>
    <col min="3" max="3" width="12.7109375" style="21" customWidth="1"/>
    <col min="4" max="4" width="15.5703125" style="1" bestFit="1" customWidth="1"/>
    <col min="5" max="5" width="17.28515625" style="1" bestFit="1" customWidth="1"/>
    <col min="6" max="6" width="15.42578125" style="1" bestFit="1" customWidth="1"/>
    <col min="7" max="7" width="11.28515625" style="1" customWidth="1"/>
    <col min="8" max="9" width="9.140625" style="1"/>
    <col min="10" max="10" width="12.7109375" style="1" bestFit="1" customWidth="1"/>
    <col min="11" max="11" width="14.42578125" style="1" bestFit="1" customWidth="1"/>
    <col min="12" max="12" width="13.85546875" style="1" bestFit="1" customWidth="1"/>
    <col min="13" max="13" width="12.140625" style="1" bestFit="1" customWidth="1"/>
    <col min="14" max="14" width="9.140625" style="1"/>
    <col min="15" max="15" width="14.42578125" style="1" bestFit="1" customWidth="1"/>
    <col min="16" max="16" width="13.85546875" style="1" bestFit="1" customWidth="1"/>
    <col min="17" max="17" width="12.140625" style="1" bestFit="1" customWidth="1"/>
    <col min="18" max="16384" width="9.140625" style="1"/>
  </cols>
  <sheetData>
    <row r="1" spans="1:17" x14ac:dyDescent="0.2">
      <c r="C1" s="140"/>
      <c r="D1" s="126" t="str">
        <f>'PS INPUTS'!C87</f>
        <v>USF calculation of rates as of 10/1/18</v>
      </c>
    </row>
    <row r="2" spans="1:17" x14ac:dyDescent="0.2">
      <c r="C2" s="140"/>
      <c r="D2" s="141"/>
    </row>
    <row r="3" spans="1:17" x14ac:dyDescent="0.2">
      <c r="D3" s="126" t="s">
        <v>3</v>
      </c>
      <c r="E3" s="126" t="s">
        <v>4</v>
      </c>
      <c r="F3" s="126" t="s">
        <v>1</v>
      </c>
    </row>
    <row r="4" spans="1:17" x14ac:dyDescent="0.2">
      <c r="D4" s="133">
        <f>D9/F9</f>
        <v>0.1712105548863273</v>
      </c>
      <c r="E4" s="134">
        <f>E9/F9</f>
        <v>0.8287894451136727</v>
      </c>
      <c r="F4" s="142">
        <f>D4+E4</f>
        <v>1</v>
      </c>
      <c r="K4" s="143"/>
      <c r="L4" s="143"/>
      <c r="M4" s="143"/>
      <c r="O4" s="143"/>
      <c r="P4" s="143"/>
      <c r="Q4" s="143"/>
    </row>
    <row r="5" spans="1:17" x14ac:dyDescent="0.2">
      <c r="D5" s="4"/>
      <c r="E5" s="4"/>
      <c r="F5" s="4"/>
    </row>
    <row r="6" spans="1:17" x14ac:dyDescent="0.2">
      <c r="A6" s="164" t="str">
        <f>'PS INPUTS'!C88</f>
        <v>USF-Permanent program projections for Program Year 2019</v>
      </c>
      <c r="B6" s="67"/>
      <c r="C6" s="144"/>
      <c r="D6" s="145"/>
      <c r="E6" s="145"/>
      <c r="F6" s="145"/>
    </row>
    <row r="7" spans="1:17" ht="26.1" customHeight="1" x14ac:dyDescent="0.2">
      <c r="A7" s="145"/>
      <c r="B7" s="67" t="s">
        <v>109</v>
      </c>
      <c r="C7" s="144" t="s">
        <v>9</v>
      </c>
      <c r="D7" s="64">
        <f>$F7*D$4</f>
        <v>1115199.2960447951</v>
      </c>
      <c r="E7" s="64">
        <f>F7-D7</f>
        <v>5398413.7039552052</v>
      </c>
      <c r="F7" s="165">
        <f>'PS INPUTS'!C91</f>
        <v>6513613</v>
      </c>
      <c r="G7" s="146"/>
      <c r="H7" s="145"/>
      <c r="I7" s="145"/>
      <c r="J7" s="147"/>
      <c r="K7" s="147"/>
      <c r="L7" s="147"/>
      <c r="M7" s="147"/>
      <c r="O7" s="147"/>
      <c r="P7" s="147"/>
      <c r="Q7" s="147"/>
    </row>
    <row r="8" spans="1:17" ht="26.1" customHeight="1" x14ac:dyDescent="0.2">
      <c r="A8" s="145"/>
      <c r="B8" s="67" t="s">
        <v>123</v>
      </c>
      <c r="C8" s="144" t="s">
        <v>10</v>
      </c>
      <c r="D8" s="64">
        <f>'Summary Admin'!O19-'Summary Admin'!O16</f>
        <v>1786.5</v>
      </c>
      <c r="E8" s="64">
        <f>'Summary Admin'!O12</f>
        <v>-222.34</v>
      </c>
      <c r="F8" s="64">
        <f>D8+E8</f>
        <v>1564.16</v>
      </c>
      <c r="G8" s="482"/>
      <c r="H8" s="483"/>
      <c r="I8" s="483"/>
      <c r="J8" s="147"/>
      <c r="K8" s="147"/>
      <c r="L8" s="147"/>
      <c r="M8" s="147"/>
      <c r="O8" s="147"/>
      <c r="P8" s="147"/>
      <c r="Q8" s="147"/>
    </row>
    <row r="9" spans="1:17" ht="26.1" customHeight="1" x14ac:dyDescent="0.2">
      <c r="A9" s="145"/>
      <c r="B9" s="67" t="s">
        <v>83</v>
      </c>
      <c r="C9" s="144" t="s">
        <v>11</v>
      </c>
      <c r="D9" s="64">
        <f>'Gas State Recvd$ vs Costs'!O10*12</f>
        <v>19633923.000000004</v>
      </c>
      <c r="E9" s="64">
        <f>'Elec State Recvd$ vs Costs'!O10*12</f>
        <v>95043136.559999987</v>
      </c>
      <c r="F9" s="64">
        <f>E9+D9</f>
        <v>114677059.55999999</v>
      </c>
      <c r="G9" s="484"/>
      <c r="H9" s="483"/>
      <c r="I9" s="483"/>
      <c r="J9" s="3"/>
      <c r="K9" s="3"/>
      <c r="L9" s="147"/>
      <c r="M9" s="147"/>
      <c r="O9" s="147"/>
      <c r="P9" s="147"/>
      <c r="Q9" s="147"/>
    </row>
    <row r="10" spans="1:17" x14ac:dyDescent="0.2">
      <c r="A10" s="145"/>
      <c r="B10" s="67"/>
      <c r="C10" s="144"/>
      <c r="D10" s="64"/>
      <c r="E10" s="64"/>
      <c r="F10" s="64"/>
      <c r="G10" s="145"/>
      <c r="H10" s="145"/>
      <c r="I10" s="145"/>
      <c r="J10" s="147"/>
      <c r="K10" s="3"/>
      <c r="L10" s="147"/>
      <c r="M10" s="147"/>
      <c r="O10" s="147"/>
      <c r="P10" s="147"/>
      <c r="Q10" s="147"/>
    </row>
    <row r="11" spans="1:17" ht="26.1" customHeight="1" x14ac:dyDescent="0.2">
      <c r="A11" s="66" t="str">
        <f>'PS INPUTS'!C89</f>
        <v>Est. program under/(over) recovery @ 9/30/18*</v>
      </c>
      <c r="B11" s="67"/>
      <c r="C11" s="144" t="s">
        <v>12</v>
      </c>
      <c r="D11" s="64">
        <f>'Gas State Recvd$ vs Costs'!P20</f>
        <v>-396542.93902427494</v>
      </c>
      <c r="E11" s="64">
        <f>'Elec State Recvd$ vs Costs'!P20</f>
        <v>-19186264.90743221</v>
      </c>
      <c r="F11" s="64">
        <f>D11+E11</f>
        <v>-19582807.846456483</v>
      </c>
      <c r="G11" s="485"/>
      <c r="H11" s="483"/>
      <c r="I11" s="483"/>
      <c r="J11" s="147"/>
      <c r="K11" s="3"/>
      <c r="L11" s="147"/>
      <c r="M11" s="147"/>
      <c r="O11" s="147"/>
      <c r="P11" s="147"/>
      <c r="Q11" s="147"/>
    </row>
    <row r="12" spans="1:17" x14ac:dyDescent="0.2">
      <c r="A12" s="67"/>
      <c r="B12" s="67"/>
      <c r="C12" s="144"/>
      <c r="D12" s="64"/>
      <c r="E12" s="64"/>
      <c r="F12" s="64"/>
      <c r="G12" s="9"/>
      <c r="H12" s="145"/>
      <c r="I12" s="145"/>
      <c r="K12" s="3"/>
    </row>
    <row r="13" spans="1:17" ht="26.1" customHeight="1" x14ac:dyDescent="0.2">
      <c r="A13" s="66" t="s">
        <v>78</v>
      </c>
      <c r="B13" s="67"/>
      <c r="C13" s="144" t="s">
        <v>39</v>
      </c>
      <c r="D13" s="64">
        <f>'Gas State Recvd$ vs Costs'!O11*12</f>
        <v>1333036.7039999999</v>
      </c>
      <c r="E13" s="64">
        <f>'Elec State Recvd$ vs Costs'!O11*12</f>
        <v>3325386.6960000005</v>
      </c>
      <c r="F13" s="64">
        <f>SUM(D13:E13)</f>
        <v>4658423.4000000004</v>
      </c>
      <c r="G13" s="10"/>
      <c r="H13" s="145"/>
      <c r="I13" s="145"/>
      <c r="J13" s="147"/>
      <c r="K13" s="3"/>
      <c r="L13" s="147"/>
      <c r="M13" s="147"/>
      <c r="O13" s="147"/>
      <c r="P13" s="147"/>
      <c r="Q13" s="147"/>
    </row>
    <row r="14" spans="1:17" x14ac:dyDescent="0.2">
      <c r="A14" s="145"/>
      <c r="B14" s="67"/>
      <c r="C14" s="144"/>
      <c r="D14" s="64"/>
      <c r="E14" s="64"/>
      <c r="F14" s="64"/>
      <c r="H14" s="147"/>
      <c r="J14" s="147"/>
      <c r="K14" s="3"/>
      <c r="L14" s="147"/>
      <c r="M14" s="147"/>
      <c r="O14" s="147"/>
      <c r="P14" s="147"/>
      <c r="Q14" s="147"/>
    </row>
    <row r="15" spans="1:17" x14ac:dyDescent="0.2">
      <c r="B15" s="125" t="s">
        <v>1</v>
      </c>
      <c r="C15" s="21" t="s">
        <v>40</v>
      </c>
      <c r="D15" s="85">
        <f>SUM(D7:D14)</f>
        <v>21687402.561020527</v>
      </c>
      <c r="E15" s="85">
        <f>SUM(E7:E14)</f>
        <v>84580449.712522969</v>
      </c>
      <c r="F15" s="85">
        <f>SUM(F7:F14)</f>
        <v>106267852.27354351</v>
      </c>
      <c r="J15" s="147"/>
      <c r="K15" s="3"/>
      <c r="L15" s="147"/>
      <c r="M15" s="147"/>
      <c r="O15" s="147"/>
      <c r="P15" s="147"/>
      <c r="Q15" s="147"/>
    </row>
    <row r="16" spans="1:17" x14ac:dyDescent="0.2">
      <c r="D16" s="79"/>
      <c r="E16" s="79"/>
      <c r="F16" s="79"/>
      <c r="J16" s="147"/>
      <c r="K16" s="3"/>
      <c r="L16" s="147"/>
      <c r="M16" s="147"/>
      <c r="O16" s="147"/>
      <c r="P16" s="147"/>
      <c r="Q16" s="147"/>
    </row>
    <row r="17" spans="2:17" hidden="1" x14ac:dyDescent="0.2">
      <c r="D17" s="79"/>
      <c r="E17" s="79"/>
      <c r="F17" s="79"/>
      <c r="J17" s="147"/>
      <c r="K17" s="3"/>
      <c r="L17" s="147"/>
      <c r="M17" s="147"/>
      <c r="O17" s="147"/>
      <c r="P17" s="147"/>
      <c r="Q17" s="147"/>
    </row>
    <row r="18" spans="2:17" hidden="1" x14ac:dyDescent="0.2">
      <c r="D18" s="79"/>
      <c r="E18" s="79"/>
      <c r="F18" s="79"/>
      <c r="J18" s="147"/>
      <c r="K18" s="3"/>
      <c r="L18" s="147"/>
      <c r="M18" s="147"/>
      <c r="O18" s="147"/>
      <c r="P18" s="147"/>
      <c r="Q18" s="147"/>
    </row>
    <row r="19" spans="2:17" hidden="1" x14ac:dyDescent="0.2">
      <c r="D19" s="79"/>
      <c r="E19" s="79"/>
      <c r="F19" s="79"/>
      <c r="J19" s="147"/>
      <c r="K19" s="3"/>
      <c r="L19" s="147"/>
      <c r="M19" s="147"/>
      <c r="O19" s="147"/>
      <c r="P19" s="147"/>
      <c r="Q19" s="147"/>
    </row>
    <row r="20" spans="2:17" hidden="1" x14ac:dyDescent="0.2">
      <c r="K20" s="3"/>
    </row>
    <row r="21" spans="2:17" s="25" customFormat="1" x14ac:dyDescent="0.2">
      <c r="B21" s="148" t="s">
        <v>120</v>
      </c>
      <c r="C21" s="149" t="s">
        <v>41</v>
      </c>
      <c r="D21" s="24">
        <f>Prj.Sales!O15*1000</f>
        <v>4674718157.6319113</v>
      </c>
      <c r="E21" s="24">
        <f>Prj.Sales!O25*1000</f>
        <v>71821717381.672775</v>
      </c>
      <c r="J21" s="24"/>
      <c r="K21" s="150"/>
      <c r="L21" s="24"/>
      <c r="O21" s="151"/>
      <c r="P21" s="151"/>
    </row>
    <row r="23" spans="2:17" x14ac:dyDescent="0.2">
      <c r="B23" s="125" t="s">
        <v>72</v>
      </c>
      <c r="C23" s="21" t="s">
        <v>42</v>
      </c>
      <c r="D23" s="80">
        <f>ROUND(D15/D21,4)</f>
        <v>4.5999999999999999E-3</v>
      </c>
      <c r="E23" s="81">
        <f>ROUND(E15/E21,6)</f>
        <v>1.178E-3</v>
      </c>
      <c r="J23" s="80"/>
      <c r="K23" s="80"/>
      <c r="L23" s="81"/>
      <c r="O23" s="152"/>
      <c r="P23" s="153"/>
    </row>
    <row r="24" spans="2:17" x14ac:dyDescent="0.2">
      <c r="B24" s="125" t="s">
        <v>74</v>
      </c>
      <c r="C24" s="21" t="s">
        <v>51</v>
      </c>
      <c r="D24" s="397">
        <f>'PS INPUTS'!C94</f>
        <v>3.5999999999999999E-3</v>
      </c>
      <c r="E24" s="398">
        <f>'PS INPUTS'!C93</f>
        <v>1.3910000000000001E-3</v>
      </c>
      <c r="F24" s="12"/>
      <c r="J24" s="80"/>
      <c r="K24" s="80"/>
      <c r="L24" s="81"/>
      <c r="O24" s="152"/>
      <c r="P24" s="153"/>
    </row>
    <row r="25" spans="2:17" x14ac:dyDescent="0.2">
      <c r="D25" s="154"/>
      <c r="E25" s="155"/>
      <c r="F25" s="12"/>
      <c r="J25" s="80"/>
      <c r="K25" s="80"/>
      <c r="L25" s="81"/>
      <c r="O25" s="80"/>
      <c r="P25" s="153"/>
    </row>
    <row r="26" spans="2:17" x14ac:dyDescent="0.2">
      <c r="B26" s="125" t="s">
        <v>75</v>
      </c>
      <c r="C26" s="21" t="s">
        <v>52</v>
      </c>
      <c r="D26" s="80">
        <f>D23-D24</f>
        <v>1E-3</v>
      </c>
      <c r="E26" s="81">
        <f>E23-E24</f>
        <v>-2.1300000000000008E-4</v>
      </c>
      <c r="J26" s="80"/>
      <c r="K26" s="80"/>
      <c r="L26" s="81"/>
      <c r="O26" s="152"/>
      <c r="P26" s="153"/>
    </row>
    <row r="27" spans="2:17" x14ac:dyDescent="0.2">
      <c r="D27" s="80"/>
      <c r="E27" s="81"/>
      <c r="J27" s="80"/>
      <c r="K27" s="80"/>
      <c r="L27" s="81"/>
      <c r="O27" s="80"/>
      <c r="P27" s="153"/>
    </row>
    <row r="28" spans="2:17" x14ac:dyDescent="0.2">
      <c r="B28" s="125" t="s">
        <v>50</v>
      </c>
      <c r="C28" s="474" t="s">
        <v>217</v>
      </c>
      <c r="D28" s="80">
        <f>ROUND(D23*'PS INPUTS'!C95,4)</f>
        <v>4.8999999999999998E-3</v>
      </c>
      <c r="E28" s="81">
        <f>ROUND(E23*'PS INPUTS'!C95,6)</f>
        <v>1.256E-3</v>
      </c>
      <c r="J28" s="80"/>
      <c r="K28" s="80"/>
      <c r="L28" s="81"/>
      <c r="O28" s="152"/>
      <c r="P28" s="153"/>
    </row>
    <row r="29" spans="2:17" x14ac:dyDescent="0.2">
      <c r="B29" s="125" t="s">
        <v>73</v>
      </c>
      <c r="C29" s="474" t="s">
        <v>218</v>
      </c>
      <c r="D29" s="80">
        <f>ROUND(D24*'PS INPUTS'!C95,4)</f>
        <v>3.8E-3</v>
      </c>
      <c r="E29" s="81">
        <f>ROUND(E24*'PS INPUTS'!C95,6)</f>
        <v>1.4829999999999999E-3</v>
      </c>
      <c r="J29" s="80"/>
      <c r="K29" s="80"/>
      <c r="L29" s="81"/>
      <c r="O29" s="152"/>
      <c r="P29" s="153"/>
    </row>
    <row r="30" spans="2:17" x14ac:dyDescent="0.2">
      <c r="D30" s="80"/>
      <c r="E30" s="81"/>
      <c r="J30" s="80"/>
      <c r="K30" s="80"/>
      <c r="L30" s="81"/>
      <c r="O30" s="80"/>
      <c r="P30" s="153"/>
    </row>
    <row r="31" spans="2:17" x14ac:dyDescent="0.2">
      <c r="B31" s="127" t="s">
        <v>76</v>
      </c>
      <c r="C31" s="4" t="s">
        <v>61</v>
      </c>
      <c r="D31" s="128">
        <f>+D28-D29</f>
        <v>1.0999999999999998E-3</v>
      </c>
      <c r="E31" s="129">
        <f>+E28-E29</f>
        <v>-2.2699999999999999E-4</v>
      </c>
      <c r="J31" s="80"/>
      <c r="K31" s="80"/>
      <c r="L31" s="156"/>
      <c r="M31" s="124"/>
      <c r="O31" s="152"/>
      <c r="P31" s="153"/>
      <c r="Q31" s="124"/>
    </row>
    <row r="32" spans="2:17" x14ac:dyDescent="0.2">
      <c r="B32" s="127"/>
      <c r="C32" s="4"/>
      <c r="D32" s="128"/>
      <c r="E32" s="129"/>
    </row>
    <row r="33" spans="2:31" ht="12.75" customHeight="1" x14ac:dyDescent="0.2">
      <c r="B33" s="82" t="str">
        <f>'PS INPUTS'!C96</f>
        <v>* Actuals through April 2018. Estimated under/overrecovery is calculated as the difference between the USF expenditures (benefits to</v>
      </c>
      <c r="C33" s="125"/>
      <c r="D33" s="125"/>
      <c r="E33" s="125"/>
      <c r="F33" s="125"/>
      <c r="G33" s="125"/>
      <c r="H33" s="125"/>
      <c r="I33" s="125"/>
      <c r="J33" s="125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</row>
    <row r="34" spans="2:31" ht="12.75" customHeight="1" x14ac:dyDescent="0.2">
      <c r="B34" s="125" t="s">
        <v>124</v>
      </c>
      <c r="C34" s="125"/>
      <c r="D34" s="125"/>
      <c r="E34" s="125"/>
      <c r="F34" s="125"/>
      <c r="G34" s="125"/>
      <c r="H34" s="125"/>
      <c r="I34" s="125"/>
      <c r="J34" s="125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</row>
    <row r="35" spans="2:31" ht="12.75" customHeight="1" x14ac:dyDescent="0.2">
      <c r="B35" s="82" t="s">
        <v>137</v>
      </c>
      <c r="C35" s="83"/>
      <c r="D35" s="83"/>
      <c r="E35" s="83"/>
      <c r="F35" s="83"/>
      <c r="G35" s="83"/>
      <c r="H35" s="83"/>
      <c r="I35" s="83"/>
      <c r="J35" s="83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</row>
    <row r="36" spans="2:31" ht="12.75" customHeight="1" x14ac:dyDescent="0.2">
      <c r="B36" s="125" t="s">
        <v>121</v>
      </c>
      <c r="D36" s="80"/>
      <c r="E36" s="81"/>
    </row>
    <row r="37" spans="2:31" ht="12.75" customHeight="1" x14ac:dyDescent="0.2">
      <c r="B37" s="157"/>
      <c r="C37" s="125"/>
      <c r="D37" s="133"/>
      <c r="E37" s="134"/>
      <c r="F37" s="142"/>
      <c r="G37" s="126"/>
    </row>
    <row r="38" spans="2:31" x14ac:dyDescent="0.2">
      <c r="B38" s="369" t="s">
        <v>214</v>
      </c>
      <c r="C38" s="62"/>
      <c r="D38" s="62"/>
      <c r="E38" s="133"/>
      <c r="F38" s="134"/>
      <c r="G38" s="142"/>
    </row>
    <row r="39" spans="2:31" x14ac:dyDescent="0.2">
      <c r="C39" s="125"/>
      <c r="D39" s="21"/>
      <c r="E39" s="80"/>
      <c r="F39" s="81"/>
    </row>
    <row r="42" spans="2:31" x14ac:dyDescent="0.2">
      <c r="C42" s="88" t="s">
        <v>5</v>
      </c>
      <c r="E42" s="158"/>
    </row>
  </sheetData>
  <mergeCells count="3">
    <mergeCell ref="G8:I8"/>
    <mergeCell ref="G9:I9"/>
    <mergeCell ref="G11:I11"/>
  </mergeCells>
  <phoneticPr fontId="0" type="noConversion"/>
  <printOptions horizontalCentered="1"/>
  <pageMargins left="0.5" right="0.5" top="1" bottom="1" header="0.4" footer="0.5"/>
  <pageSetup paperSize="5" scale="93" orientation="landscape" r:id="rId1"/>
  <headerFooter alignWithMargins="0">
    <oddFooter>&amp;R&amp;"Arial,Bold"&amp;11&amp;F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EJ217"/>
  <sheetViews>
    <sheetView zoomScaleNormal="100" workbookViewId="0">
      <pane xSplit="1" ySplit="5" topLeftCell="D36" activePane="bottomRight" state="frozen"/>
      <selection activeCell="C30" sqref="C29:C30"/>
      <selection pane="topRight" activeCell="C30" sqref="C29:C30"/>
      <selection pane="bottomLeft" activeCell="C30" sqref="C29:C30"/>
      <selection pane="bottomRight" activeCell="D56" sqref="D56"/>
    </sheetView>
  </sheetViews>
  <sheetFormatPr defaultRowHeight="12.75" x14ac:dyDescent="0.2"/>
  <cols>
    <col min="1" max="1" width="39.28515625" style="176" customWidth="1"/>
    <col min="2" max="2" width="8.140625" style="176" bestFit="1" customWidth="1"/>
    <col min="3" max="3" width="12.5703125" style="176" customWidth="1"/>
    <col min="4" max="4" width="14" style="193" customWidth="1"/>
    <col min="5" max="6" width="12.7109375" style="193" customWidth="1"/>
    <col min="7" max="9" width="13.85546875" style="193" customWidth="1"/>
    <col min="10" max="10" width="13.7109375" style="193" customWidth="1"/>
    <col min="11" max="11" width="13.85546875" style="193" customWidth="1"/>
    <col min="12" max="12" width="17" style="193" customWidth="1"/>
    <col min="13" max="13" width="14.140625" style="193" customWidth="1"/>
    <col min="14" max="14" width="13.7109375" style="193" customWidth="1"/>
    <col min="15" max="15" width="14" style="193" customWidth="1"/>
    <col min="16" max="16" width="13.5703125" style="193" customWidth="1"/>
    <col min="17" max="17" width="12.7109375" style="193" customWidth="1"/>
    <col min="18" max="19" width="12.7109375" style="176" customWidth="1"/>
    <col min="20" max="20" width="12.28515625" style="176" customWidth="1"/>
    <col min="21" max="21" width="9.140625" style="176"/>
    <col min="22" max="22" width="13.5703125" style="176" customWidth="1"/>
    <col min="23" max="25" width="12.7109375" style="176" customWidth="1"/>
    <col min="26" max="26" width="11.7109375" style="176" bestFit="1" customWidth="1"/>
    <col min="27" max="29" width="12.28515625" style="176" bestFit="1" customWidth="1"/>
    <col min="30" max="16384" width="9.140625" style="176"/>
  </cols>
  <sheetData>
    <row r="1" spans="1:77" ht="18" x14ac:dyDescent="0.25">
      <c r="A1" s="276" t="s">
        <v>43</v>
      </c>
      <c r="B1" s="276"/>
      <c r="C1" s="263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194"/>
      <c r="R1" s="195"/>
      <c r="S1" s="195"/>
      <c r="T1" s="195"/>
    </row>
    <row r="2" spans="1:77" x14ac:dyDescent="0.2">
      <c r="A2" s="263"/>
      <c r="B2" s="263"/>
      <c r="C2" s="263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</row>
    <row r="3" spans="1:77" s="172" customFormat="1" x14ac:dyDescent="0.2">
      <c r="A3" s="278"/>
      <c r="B3" s="278"/>
      <c r="C3" s="279"/>
      <c r="D3" s="278" t="str">
        <f>'PS INPUTS'!C3</f>
        <v>October</v>
      </c>
      <c r="E3" s="278" t="str">
        <f>'PS INPUTS'!D3</f>
        <v>November</v>
      </c>
      <c r="F3" s="278" t="str">
        <f>'PS INPUTS'!E3</f>
        <v>December</v>
      </c>
      <c r="G3" s="278" t="str">
        <f>'PS INPUTS'!F3</f>
        <v>January</v>
      </c>
      <c r="H3" s="278" t="str">
        <f>'PS INPUTS'!G3</f>
        <v>February</v>
      </c>
      <c r="I3" s="278" t="str">
        <f>'PS INPUTS'!H3</f>
        <v>March</v>
      </c>
      <c r="J3" s="278" t="str">
        <f>'PS INPUTS'!I3</f>
        <v xml:space="preserve">April </v>
      </c>
      <c r="K3" s="278" t="str">
        <f>'PS INPUTS'!J3</f>
        <v>May</v>
      </c>
      <c r="L3" s="278" t="str">
        <f>'PS INPUTS'!K3</f>
        <v>June</v>
      </c>
      <c r="M3" s="278" t="str">
        <f>'PS INPUTS'!L3</f>
        <v>July</v>
      </c>
      <c r="N3" s="278" t="str">
        <f>'PS INPUTS'!M3</f>
        <v>August</v>
      </c>
      <c r="O3" s="278" t="str">
        <f>'PS INPUTS'!N3</f>
        <v>September</v>
      </c>
      <c r="P3" s="280" t="s">
        <v>1</v>
      </c>
      <c r="V3" s="196"/>
    </row>
    <row r="4" spans="1:77" s="172" customFormat="1" x14ac:dyDescent="0.2">
      <c r="A4" s="278"/>
      <c r="B4" s="278"/>
      <c r="C4" s="279"/>
      <c r="D4" s="278">
        <f>'PS INPUTS'!C4</f>
        <v>2017</v>
      </c>
      <c r="E4" s="278">
        <f>'PS INPUTS'!D4</f>
        <v>2017</v>
      </c>
      <c r="F4" s="278">
        <f>'PS INPUTS'!E4</f>
        <v>2017</v>
      </c>
      <c r="G4" s="278">
        <f>'PS INPUTS'!F4</f>
        <v>2018</v>
      </c>
      <c r="H4" s="278">
        <f>'PS INPUTS'!G4</f>
        <v>2018</v>
      </c>
      <c r="I4" s="278">
        <f>'PS INPUTS'!H4</f>
        <v>2018</v>
      </c>
      <c r="J4" s="278">
        <f>'PS INPUTS'!I4</f>
        <v>2018</v>
      </c>
      <c r="K4" s="278">
        <f>'PS INPUTS'!J4</f>
        <v>2018</v>
      </c>
      <c r="L4" s="278">
        <f>'PS INPUTS'!K4</f>
        <v>2018</v>
      </c>
      <c r="M4" s="278">
        <f>'PS INPUTS'!L4</f>
        <v>2018</v>
      </c>
      <c r="N4" s="278">
        <f>'PS INPUTS'!M4</f>
        <v>2018</v>
      </c>
      <c r="O4" s="278">
        <f>'PS INPUTS'!N4</f>
        <v>2018</v>
      </c>
      <c r="P4" s="280"/>
      <c r="V4" s="196"/>
    </row>
    <row r="5" spans="1:77" s="172" customFormat="1" x14ac:dyDescent="0.2">
      <c r="A5" s="278"/>
      <c r="B5" s="278"/>
      <c r="C5" s="279"/>
      <c r="D5" s="278" t="str">
        <f>'PS INPUTS'!C5</f>
        <v>actual</v>
      </c>
      <c r="E5" s="278" t="str">
        <f>'PS INPUTS'!D5</f>
        <v>actual</v>
      </c>
      <c r="F5" s="278" t="str">
        <f>'PS INPUTS'!E5</f>
        <v>actual</v>
      </c>
      <c r="G5" s="278" t="str">
        <f>'PS INPUTS'!F5</f>
        <v>actual</v>
      </c>
      <c r="H5" s="278" t="str">
        <f>'PS INPUTS'!G5</f>
        <v>actual</v>
      </c>
      <c r="I5" s="278" t="str">
        <f>'PS INPUTS'!H5</f>
        <v>actual</v>
      </c>
      <c r="J5" s="278" t="str">
        <f>'PS INPUTS'!I5</f>
        <v>actual</v>
      </c>
      <c r="K5" s="278" t="str">
        <f>'PS INPUTS'!J5</f>
        <v>estimate</v>
      </c>
      <c r="L5" s="278" t="str">
        <f>'PS INPUTS'!K5</f>
        <v>estimate</v>
      </c>
      <c r="M5" s="278" t="str">
        <f>'PS INPUTS'!L5</f>
        <v>estimate</v>
      </c>
      <c r="N5" s="278" t="str">
        <f>'PS INPUTS'!M5</f>
        <v>estimate</v>
      </c>
      <c r="O5" s="278" t="str">
        <f>'PS INPUTS'!N5</f>
        <v>estimate</v>
      </c>
      <c r="P5" s="280"/>
      <c r="Q5" s="174"/>
      <c r="R5" s="174"/>
      <c r="S5" s="174"/>
      <c r="T5" s="174"/>
      <c r="U5" s="174"/>
      <c r="V5" s="175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</row>
    <row r="6" spans="1:77" s="172" customFormat="1" x14ac:dyDescent="0.2">
      <c r="A6" s="278" t="s">
        <v>32</v>
      </c>
      <c r="B6" s="278"/>
      <c r="C6" s="278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173"/>
      <c r="R6" s="174"/>
      <c r="S6" s="174"/>
      <c r="T6" s="174"/>
      <c r="U6" s="174"/>
      <c r="V6" s="175"/>
      <c r="W6" s="175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</row>
    <row r="7" spans="1:77" x14ac:dyDescent="0.2">
      <c r="A7" s="263"/>
      <c r="B7" s="263"/>
      <c r="C7" s="263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177"/>
      <c r="R7" s="178"/>
      <c r="S7" s="178"/>
      <c r="T7" s="178"/>
      <c r="U7" s="178"/>
      <c r="V7" s="179"/>
      <c r="W7" s="180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</row>
    <row r="8" spans="1:77" x14ac:dyDescent="0.2">
      <c r="A8" s="263" t="s">
        <v>131</v>
      </c>
      <c r="B8" s="189"/>
      <c r="C8" s="189" t="s">
        <v>5</v>
      </c>
      <c r="D8" s="190">
        <f>D26+D42+D58+D74</f>
        <v>0</v>
      </c>
      <c r="E8" s="190">
        <f t="shared" ref="E8:O8" si="0">E26+E42+E58+E74</f>
        <v>964441.60344918387</v>
      </c>
      <c r="F8" s="190">
        <f t="shared" si="0"/>
        <v>589051.90999999992</v>
      </c>
      <c r="G8" s="190">
        <f t="shared" si="0"/>
        <v>1125015.7</v>
      </c>
      <c r="H8" s="190">
        <f t="shared" si="0"/>
        <v>2141603.7000000002</v>
      </c>
      <c r="I8" s="190">
        <f t="shared" si="0"/>
        <v>3212445.36</v>
      </c>
      <c r="J8" s="190">
        <f t="shared" si="0"/>
        <v>2359639.2400000002</v>
      </c>
      <c r="K8" s="190">
        <f t="shared" si="0"/>
        <v>2153706.7399999998</v>
      </c>
      <c r="L8" s="190">
        <f t="shared" si="0"/>
        <v>879072.24406657461</v>
      </c>
      <c r="M8" s="190">
        <f t="shared" si="0"/>
        <v>667256.10769744683</v>
      </c>
      <c r="N8" s="190">
        <f t="shared" si="0"/>
        <v>566668.5747229259</v>
      </c>
      <c r="O8" s="190">
        <f t="shared" si="0"/>
        <v>543813.07748225785</v>
      </c>
      <c r="P8" s="190">
        <f>SUM(D8:O8)</f>
        <v>15202714.257418389</v>
      </c>
      <c r="Q8" s="183"/>
      <c r="R8" s="183"/>
      <c r="S8" s="183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</row>
    <row r="9" spans="1:77" x14ac:dyDescent="0.2">
      <c r="A9" s="263"/>
      <c r="B9" s="189"/>
      <c r="C9" s="189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83"/>
      <c r="R9" s="184"/>
      <c r="S9" s="184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</row>
    <row r="10" spans="1:77" x14ac:dyDescent="0.2">
      <c r="A10" s="263" t="s">
        <v>26</v>
      </c>
      <c r="B10" s="189"/>
      <c r="C10" s="189"/>
      <c r="D10" s="190">
        <f t="shared" ref="D10:O10" si="1">D28+D44+D60+D76</f>
        <v>1615591.9200000002</v>
      </c>
      <c r="E10" s="190">
        <f t="shared" si="1"/>
        <v>1564169.6100000003</v>
      </c>
      <c r="F10" s="190">
        <f t="shared" si="1"/>
        <v>1519793.7700000003</v>
      </c>
      <c r="G10" s="190">
        <f t="shared" si="1"/>
        <v>1634881.3599999999</v>
      </c>
      <c r="H10" s="190">
        <f t="shared" si="1"/>
        <v>1471086.63</v>
      </c>
      <c r="I10" s="190">
        <f t="shared" si="1"/>
        <v>1593606.9100000001</v>
      </c>
      <c r="J10" s="190">
        <f t="shared" si="1"/>
        <v>1636160.2500000002</v>
      </c>
      <c r="K10" s="190">
        <f t="shared" si="1"/>
        <v>1636160.2500000002</v>
      </c>
      <c r="L10" s="190">
        <f t="shared" si="1"/>
        <v>1636160.2500000002</v>
      </c>
      <c r="M10" s="190">
        <f t="shared" si="1"/>
        <v>1636160.2500000002</v>
      </c>
      <c r="N10" s="190">
        <f t="shared" si="1"/>
        <v>1636160.2500000002</v>
      </c>
      <c r="O10" s="190">
        <f t="shared" si="1"/>
        <v>1636160.2500000002</v>
      </c>
      <c r="P10" s="190">
        <f>SUM(D10:O10)</f>
        <v>19216091.699999999</v>
      </c>
      <c r="Q10" s="183"/>
      <c r="R10" s="183"/>
      <c r="S10" s="183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</row>
    <row r="11" spans="1:77" x14ac:dyDescent="0.2">
      <c r="A11" s="263" t="s">
        <v>55</v>
      </c>
      <c r="B11" s="189"/>
      <c r="C11" s="189"/>
      <c r="D11" s="190">
        <f t="shared" ref="D11:O11" si="2">D29+D45+D61+D77</f>
        <v>104177.37760000001</v>
      </c>
      <c r="E11" s="190">
        <f t="shared" si="2"/>
        <v>120502.07439999998</v>
      </c>
      <c r="F11" s="190">
        <f t="shared" si="2"/>
        <v>112725.2776</v>
      </c>
      <c r="G11" s="190">
        <f t="shared" si="2"/>
        <v>111496.99239999999</v>
      </c>
      <c r="H11" s="190">
        <f t="shared" si="2"/>
        <v>106526.63</v>
      </c>
      <c r="I11" s="190">
        <f t="shared" si="2"/>
        <v>108880.08319999999</v>
      </c>
      <c r="J11" s="190">
        <f t="shared" si="2"/>
        <v>111086.39199999999</v>
      </c>
      <c r="K11" s="190">
        <f t="shared" si="2"/>
        <v>111086.39199999999</v>
      </c>
      <c r="L11" s="190">
        <f t="shared" si="2"/>
        <v>111086.39199999999</v>
      </c>
      <c r="M11" s="190">
        <f t="shared" si="2"/>
        <v>111086.39199999999</v>
      </c>
      <c r="N11" s="190">
        <f t="shared" si="2"/>
        <v>111086.39199999999</v>
      </c>
      <c r="O11" s="190">
        <f t="shared" si="2"/>
        <v>111086.39199999999</v>
      </c>
      <c r="P11" s="190">
        <f>SUM(D11:O11)</f>
        <v>1330826.7871999999</v>
      </c>
      <c r="Q11" s="183"/>
      <c r="R11" s="183"/>
      <c r="S11" s="183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</row>
    <row r="12" spans="1:77" x14ac:dyDescent="0.2">
      <c r="A12" s="268" t="s">
        <v>138</v>
      </c>
      <c r="B12" s="189"/>
      <c r="C12" s="189"/>
      <c r="D12" s="190">
        <f t="shared" ref="D12:O12" si="3">D30+D46+D62+D78</f>
        <v>0</v>
      </c>
      <c r="E12" s="190">
        <f t="shared" si="3"/>
        <v>-2304</v>
      </c>
      <c r="F12" s="190">
        <f t="shared" si="3"/>
        <v>344.81</v>
      </c>
      <c r="G12" s="190">
        <f t="shared" si="3"/>
        <v>0</v>
      </c>
      <c r="H12" s="190">
        <f t="shared" si="3"/>
        <v>0</v>
      </c>
      <c r="I12" s="190">
        <f t="shared" si="3"/>
        <v>502.58</v>
      </c>
      <c r="J12" s="190">
        <f t="shared" si="3"/>
        <v>2304</v>
      </c>
      <c r="K12" s="190">
        <f t="shared" si="3"/>
        <v>0</v>
      </c>
      <c r="L12" s="190">
        <f t="shared" si="3"/>
        <v>611.66999999999996</v>
      </c>
      <c r="M12" s="190">
        <f t="shared" si="3"/>
        <v>0</v>
      </c>
      <c r="N12" s="190">
        <f t="shared" si="3"/>
        <v>0</v>
      </c>
      <c r="O12" s="190">
        <f t="shared" si="3"/>
        <v>327.44</v>
      </c>
      <c r="P12" s="190">
        <f>SUM(D12:O12)</f>
        <v>1786.5</v>
      </c>
      <c r="Q12" s="183"/>
      <c r="R12" s="183"/>
      <c r="S12" s="183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</row>
    <row r="13" spans="1:77" x14ac:dyDescent="0.2">
      <c r="A13" s="263" t="s">
        <v>27</v>
      </c>
      <c r="B13" s="189"/>
      <c r="C13" s="189"/>
      <c r="D13" s="190">
        <f>D36+D52+D68+D84</f>
        <v>-4856.1297080124914</v>
      </c>
      <c r="E13" s="190">
        <f t="shared" ref="E13:O13" si="4">E36+E52+E68+E84</f>
        <v>-3811.7429939996264</v>
      </c>
      <c r="F13" s="190">
        <f t="shared" si="4"/>
        <v>-3071.5698500159815</v>
      </c>
      <c r="G13" s="190">
        <f t="shared" si="4"/>
        <v>-2695.7864163686345</v>
      </c>
      <c r="H13" s="190">
        <f t="shared" si="4"/>
        <v>-2905.0963638138001</v>
      </c>
      <c r="I13" s="190">
        <f t="shared" si="4"/>
        <v>-4719.7062112170224</v>
      </c>
      <c r="J13" s="190">
        <f t="shared" si="4"/>
        <v>-6579.3576459132391</v>
      </c>
      <c r="K13" s="190">
        <f t="shared" si="4"/>
        <v>-7447.1789142590897</v>
      </c>
      <c r="L13" s="190">
        <f t="shared" si="4"/>
        <v>-7052.4941232642359</v>
      </c>
      <c r="M13" s="190">
        <f t="shared" si="4"/>
        <v>-5388.8357177891448</v>
      </c>
      <c r="N13" s="190">
        <f t="shared" si="4"/>
        <v>-3459.0024311743755</v>
      </c>
      <c r="O13" s="190">
        <f t="shared" si="4"/>
        <v>-1423.5070677023405</v>
      </c>
      <c r="P13" s="190">
        <f>SUM(D13:O13)</f>
        <v>-53410.407443529984</v>
      </c>
      <c r="Q13" s="183"/>
      <c r="R13" s="183"/>
      <c r="S13" s="183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</row>
    <row r="14" spans="1:77" x14ac:dyDescent="0.2">
      <c r="A14" s="263" t="s">
        <v>29</v>
      </c>
      <c r="B14" s="189"/>
      <c r="C14" s="189"/>
      <c r="D14" s="191">
        <f t="shared" ref="D14:L14" si="5">SUM(D10:D13)</f>
        <v>1714913.1678919876</v>
      </c>
      <c r="E14" s="191">
        <f t="shared" si="5"/>
        <v>1678555.9414060006</v>
      </c>
      <c r="F14" s="191">
        <f t="shared" si="5"/>
        <v>1629792.2877499843</v>
      </c>
      <c r="G14" s="191">
        <f t="shared" si="5"/>
        <v>1743682.5659836312</v>
      </c>
      <c r="H14" s="191">
        <f t="shared" si="5"/>
        <v>1574708.1636361859</v>
      </c>
      <c r="I14" s="191">
        <f t="shared" si="5"/>
        <v>1698269.8669887832</v>
      </c>
      <c r="J14" s="191">
        <f t="shared" si="5"/>
        <v>1742971.284354087</v>
      </c>
      <c r="K14" s="191">
        <f t="shared" si="5"/>
        <v>1739799.463085741</v>
      </c>
      <c r="L14" s="191">
        <f t="shared" si="5"/>
        <v>1740805.8178767359</v>
      </c>
      <c r="M14" s="191">
        <f>SUM(M10:M13)</f>
        <v>1741857.8062822111</v>
      </c>
      <c r="N14" s="191">
        <f>SUM(N10:N13)</f>
        <v>1743787.639568826</v>
      </c>
      <c r="O14" s="191">
        <f>SUM(O10:O13)</f>
        <v>1746150.5749322979</v>
      </c>
      <c r="P14" s="191">
        <f>SUM(D14:O14)</f>
        <v>20495294.579756472</v>
      </c>
      <c r="Q14" s="183"/>
      <c r="R14" s="183"/>
      <c r="S14" s="183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</row>
    <row r="15" spans="1:77" x14ac:dyDescent="0.2">
      <c r="A15" s="263"/>
      <c r="B15" s="189"/>
      <c r="C15" s="189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83"/>
      <c r="R15" s="184"/>
      <c r="S15" s="184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</row>
    <row r="16" spans="1:77" x14ac:dyDescent="0.2">
      <c r="A16" s="189" t="s">
        <v>116</v>
      </c>
      <c r="B16" s="189"/>
      <c r="C16" s="189"/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f>SUM(D16:O16)</f>
        <v>0</v>
      </c>
      <c r="Q16" s="183"/>
      <c r="R16" s="183"/>
      <c r="S16" s="183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</row>
    <row r="17" spans="1:77" x14ac:dyDescent="0.2">
      <c r="A17" s="263"/>
      <c r="B17" s="189"/>
      <c r="C17" s="189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83"/>
      <c r="R17" s="184"/>
      <c r="S17" s="184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</row>
    <row r="18" spans="1:77" x14ac:dyDescent="0.2">
      <c r="A18" s="263" t="s">
        <v>28</v>
      </c>
      <c r="B18" s="189"/>
      <c r="C18" s="189"/>
      <c r="D18" s="191">
        <f t="shared" ref="D18:O18" si="6">D14+D16</f>
        <v>1714913.1678919876</v>
      </c>
      <c r="E18" s="191">
        <f t="shared" si="6"/>
        <v>1678555.9414060006</v>
      </c>
      <c r="F18" s="191">
        <f t="shared" si="6"/>
        <v>1629792.2877499843</v>
      </c>
      <c r="G18" s="191">
        <f t="shared" si="6"/>
        <v>1743682.5659836312</v>
      </c>
      <c r="H18" s="191">
        <f t="shared" si="6"/>
        <v>1574708.1636361859</v>
      </c>
      <c r="I18" s="191">
        <f t="shared" si="6"/>
        <v>1698269.8669887832</v>
      </c>
      <c r="J18" s="191">
        <f t="shared" si="6"/>
        <v>1742971.284354087</v>
      </c>
      <c r="K18" s="191">
        <f t="shared" si="6"/>
        <v>1739799.463085741</v>
      </c>
      <c r="L18" s="191">
        <f t="shared" si="6"/>
        <v>1740805.8178767359</v>
      </c>
      <c r="M18" s="191">
        <f t="shared" si="6"/>
        <v>1741857.8062822111</v>
      </c>
      <c r="N18" s="191">
        <f t="shared" si="6"/>
        <v>1743787.639568826</v>
      </c>
      <c r="O18" s="191">
        <f t="shared" si="6"/>
        <v>1746150.5749322979</v>
      </c>
      <c r="P18" s="191">
        <f>SUM(D18:O18)</f>
        <v>20495294.579756472</v>
      </c>
      <c r="Q18" s="183"/>
      <c r="R18" s="183"/>
      <c r="S18" s="183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</row>
    <row r="19" spans="1:77" x14ac:dyDescent="0.2">
      <c r="A19" s="263"/>
      <c r="B19" s="189"/>
      <c r="C19" s="189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83"/>
      <c r="R19" s="184"/>
      <c r="S19" s="184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</row>
    <row r="20" spans="1:77" x14ac:dyDescent="0.2">
      <c r="A20" s="263" t="s">
        <v>117</v>
      </c>
      <c r="B20" s="264" t="s">
        <v>56</v>
      </c>
      <c r="C20" s="192">
        <f>+C35+C51+C67+C83+C52+C84+C68</f>
        <v>-5673329.3619670393</v>
      </c>
      <c r="D20" s="191">
        <f>+C20+D18-D8</f>
        <v>-3958416.1940750517</v>
      </c>
      <c r="E20" s="191">
        <f>+D20+E18-E8-C68</f>
        <v>-3260095.7555135558</v>
      </c>
      <c r="F20" s="191">
        <f>+E20+F18-F8</f>
        <v>-2219355.3777635712</v>
      </c>
      <c r="G20" s="191">
        <f>+F20+G18-G8</f>
        <v>-1600688.51177994</v>
      </c>
      <c r="H20" s="191">
        <f t="shared" ref="H20:O20" si="7">+G20+H18-H8</f>
        <v>-2167584.0481437542</v>
      </c>
      <c r="I20" s="191">
        <f t="shared" si="7"/>
        <v>-3681759.5411549709</v>
      </c>
      <c r="J20" s="191">
        <f t="shared" si="7"/>
        <v>-4298427.4968008846</v>
      </c>
      <c r="K20" s="191">
        <f t="shared" si="7"/>
        <v>-4712334.773715144</v>
      </c>
      <c r="L20" s="191">
        <f t="shared" si="7"/>
        <v>-3850601.1999049829</v>
      </c>
      <c r="M20" s="191">
        <f t="shared" si="7"/>
        <v>-2775999.5013202187</v>
      </c>
      <c r="N20" s="191">
        <f t="shared" si="7"/>
        <v>-1598880.4364743186</v>
      </c>
      <c r="O20" s="191">
        <f t="shared" si="7"/>
        <v>-396542.93902427854</v>
      </c>
      <c r="P20" s="191">
        <f>+C20+P18-P8-C68</f>
        <v>-396542.93902427494</v>
      </c>
      <c r="Q20" s="183"/>
      <c r="R20" s="183"/>
      <c r="S20" s="183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</row>
    <row r="21" spans="1:77" x14ac:dyDescent="0.2">
      <c r="B21" s="181"/>
      <c r="C21" s="181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3"/>
      <c r="R21" s="184"/>
      <c r="S21" s="184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</row>
    <row r="22" spans="1:77" x14ac:dyDescent="0.2">
      <c r="B22" s="181"/>
      <c r="C22" s="181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3"/>
      <c r="R22" s="184"/>
      <c r="S22" s="184"/>
      <c r="T22" s="179"/>
      <c r="U22" s="179"/>
      <c r="V22" s="179"/>
      <c r="W22" s="179"/>
      <c r="X22" s="179"/>
      <c r="Y22" s="179"/>
      <c r="Z22" s="178"/>
      <c r="AA22" s="179"/>
      <c r="AB22" s="179"/>
      <c r="AC22" s="179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</row>
    <row r="23" spans="1:77" x14ac:dyDescent="0.2">
      <c r="A23" s="176" t="s">
        <v>31</v>
      </c>
      <c r="B23" s="181"/>
      <c r="C23" s="181"/>
      <c r="D23" s="181"/>
      <c r="E23" s="188"/>
      <c r="F23" s="188"/>
      <c r="G23" s="188"/>
      <c r="H23" s="182"/>
      <c r="I23" s="182"/>
      <c r="J23" s="182"/>
      <c r="K23" s="182"/>
      <c r="L23" s="182"/>
      <c r="M23" s="182"/>
      <c r="N23" s="182"/>
      <c r="O23" s="182"/>
      <c r="P23" s="182"/>
      <c r="Q23" s="183"/>
      <c r="R23" s="184"/>
      <c r="S23" s="184"/>
      <c r="T23" s="179"/>
      <c r="U23" s="179"/>
      <c r="V23" s="179"/>
      <c r="W23" s="179"/>
      <c r="X23" s="179"/>
      <c r="Y23" s="179"/>
      <c r="Z23" s="178"/>
      <c r="AA23" s="179"/>
      <c r="AB23" s="179"/>
      <c r="AC23" s="179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</row>
    <row r="24" spans="1:77" x14ac:dyDescent="0.2">
      <c r="B24" s="181"/>
      <c r="C24" s="181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3"/>
      <c r="R24" s="184"/>
      <c r="S24" s="184"/>
      <c r="T24" s="179"/>
      <c r="U24" s="179"/>
      <c r="V24" s="179"/>
      <c r="W24" s="179"/>
      <c r="X24" s="179"/>
      <c r="Y24" s="179"/>
      <c r="Z24" s="178"/>
      <c r="AA24" s="179"/>
      <c r="AB24" s="179"/>
      <c r="AC24" s="179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</row>
    <row r="25" spans="1:77" x14ac:dyDescent="0.2">
      <c r="A25" s="197" t="s">
        <v>0</v>
      </c>
      <c r="B25" s="198"/>
      <c r="C25" s="187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200"/>
      <c r="Q25" s="201"/>
      <c r="R25" s="202"/>
      <c r="S25" s="202"/>
      <c r="T25" s="179"/>
      <c r="U25" s="179"/>
      <c r="V25" s="179"/>
      <c r="W25" s="179"/>
      <c r="X25" s="179"/>
      <c r="Y25" s="179"/>
      <c r="Z25" s="178"/>
      <c r="AA25" s="179"/>
      <c r="AB25" s="179"/>
      <c r="AC25" s="179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</row>
    <row r="26" spans="1:77" x14ac:dyDescent="0.2">
      <c r="A26" s="176" t="s">
        <v>131</v>
      </c>
      <c r="B26" s="187"/>
      <c r="C26" s="395"/>
      <c r="D26" s="401">
        <v>0</v>
      </c>
      <c r="E26" s="401">
        <v>110984.8</v>
      </c>
      <c r="F26" s="401">
        <v>73660.460000000006</v>
      </c>
      <c r="G26" s="401">
        <v>137899.72</v>
      </c>
      <c r="H26" s="401">
        <v>272332.19</v>
      </c>
      <c r="I26" s="401">
        <v>409702.53</v>
      </c>
      <c r="J26" s="401">
        <v>290634.34000000003</v>
      </c>
      <c r="K26" s="401">
        <f>'$ Transfer from State'!D9</f>
        <v>274782.26</v>
      </c>
      <c r="L26" s="401">
        <f>'$ Transfer from State'!E9</f>
        <v>110929.53594132893</v>
      </c>
      <c r="M26" s="401">
        <f>'$ Transfer from State'!F9</f>
        <v>84200.599985374545</v>
      </c>
      <c r="N26" s="401">
        <f>'$ Transfer from State'!G9</f>
        <v>71507.526771358127</v>
      </c>
      <c r="O26" s="401">
        <f>'$ Transfer from State'!H9</f>
        <v>68623.40692827545</v>
      </c>
      <c r="P26" s="204">
        <f>SUM(D26:O26)</f>
        <v>1905257.3696263372</v>
      </c>
      <c r="Q26" s="201"/>
      <c r="R26" s="201"/>
      <c r="S26" s="201"/>
      <c r="T26" s="179"/>
      <c r="U26" s="179"/>
      <c r="V26" s="179"/>
      <c r="W26" s="179"/>
      <c r="X26" s="179"/>
      <c r="Y26" s="179"/>
      <c r="Z26" s="178"/>
      <c r="AA26" s="179"/>
      <c r="AB26" s="179"/>
      <c r="AC26" s="179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</row>
    <row r="27" spans="1:77" x14ac:dyDescent="0.2">
      <c r="B27" s="187"/>
      <c r="C27" s="395"/>
      <c r="D27" s="402"/>
      <c r="E27" s="402"/>
      <c r="F27" s="402"/>
      <c r="G27" s="402"/>
      <c r="H27" s="402"/>
      <c r="I27" s="402"/>
      <c r="J27" s="402"/>
      <c r="K27" s="402"/>
      <c r="L27" s="402"/>
      <c r="M27" s="403"/>
      <c r="N27" s="403"/>
      <c r="O27" s="403"/>
      <c r="P27" s="199"/>
      <c r="Q27" s="201"/>
      <c r="R27" s="201"/>
      <c r="S27" s="201"/>
      <c r="T27" s="179"/>
      <c r="U27" s="179"/>
      <c r="V27" s="179"/>
      <c r="W27" s="179"/>
      <c r="X27" s="179"/>
      <c r="Y27" s="179"/>
      <c r="Z27" s="178"/>
      <c r="AA27" s="179"/>
      <c r="AB27" s="179"/>
      <c r="AC27" s="179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</row>
    <row r="28" spans="1:77" x14ac:dyDescent="0.2">
      <c r="A28" s="176" t="s">
        <v>26</v>
      </c>
      <c r="B28" s="187"/>
      <c r="C28" s="395"/>
      <c r="D28" s="404">
        <v>218842.17</v>
      </c>
      <c r="E28" s="404">
        <v>200248.24</v>
      </c>
      <c r="F28" s="404">
        <v>202189.47</v>
      </c>
      <c r="G28" s="404">
        <v>218930.05</v>
      </c>
      <c r="H28" s="404">
        <v>192165.68</v>
      </c>
      <c r="I28" s="404">
        <v>215017.22</v>
      </c>
      <c r="J28" s="404">
        <v>216350.3</v>
      </c>
      <c r="K28" s="404">
        <v>216350.3</v>
      </c>
      <c r="L28" s="404">
        <v>216350.3</v>
      </c>
      <c r="M28" s="404">
        <v>216350.3</v>
      </c>
      <c r="N28" s="404">
        <v>216350.3</v>
      </c>
      <c r="O28" s="404">
        <v>216350.3</v>
      </c>
      <c r="P28" s="182">
        <f>SUM(D28:O28)</f>
        <v>2545494.6299999994</v>
      </c>
      <c r="Q28" s="201"/>
      <c r="R28" s="201"/>
      <c r="S28" s="201"/>
      <c r="T28" s="179"/>
      <c r="U28" s="179"/>
      <c r="V28" s="179"/>
      <c r="W28" s="179"/>
      <c r="X28" s="179"/>
      <c r="Y28" s="179"/>
      <c r="Z28" s="178"/>
      <c r="AA28" s="179"/>
      <c r="AB28" s="179"/>
      <c r="AC28" s="179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</row>
    <row r="29" spans="1:77" x14ac:dyDescent="0.2">
      <c r="A29" s="176" t="s">
        <v>55</v>
      </c>
      <c r="B29" s="187"/>
      <c r="C29" s="395"/>
      <c r="D29" s="404">
        <v>5124.37</v>
      </c>
      <c r="E29" s="404">
        <v>6251.77</v>
      </c>
      <c r="F29" s="404">
        <v>5401.79</v>
      </c>
      <c r="G29" s="404">
        <v>3830.78</v>
      </c>
      <c r="H29" s="404">
        <v>2336.66</v>
      </c>
      <c r="I29" s="404">
        <v>2196.35</v>
      </c>
      <c r="J29" s="404">
        <v>4133.58</v>
      </c>
      <c r="K29" s="404">
        <v>4133.58</v>
      </c>
      <c r="L29" s="404">
        <v>4133.58</v>
      </c>
      <c r="M29" s="404">
        <v>4133.58</v>
      </c>
      <c r="N29" s="404">
        <v>4133.58</v>
      </c>
      <c r="O29" s="404">
        <v>4133.58</v>
      </c>
      <c r="P29" s="182">
        <f>SUM(D29:O29)</f>
        <v>49943.200000000004</v>
      </c>
      <c r="Q29" s="201"/>
      <c r="R29" s="201"/>
      <c r="S29" s="201"/>
      <c r="T29" s="179"/>
      <c r="U29" s="179"/>
      <c r="V29" s="179"/>
      <c r="W29" s="179"/>
      <c r="X29" s="179"/>
      <c r="Y29" s="179"/>
      <c r="Z29" s="178"/>
      <c r="AA29" s="179"/>
      <c r="AB29" s="179"/>
      <c r="AC29" s="179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</row>
    <row r="30" spans="1:77" x14ac:dyDescent="0.2">
      <c r="A30" s="185" t="s">
        <v>140</v>
      </c>
      <c r="B30" s="187"/>
      <c r="C30" s="395"/>
      <c r="D30" s="404">
        <v>0</v>
      </c>
      <c r="E30" s="404">
        <v>0</v>
      </c>
      <c r="F30" s="404">
        <v>0</v>
      </c>
      <c r="G30" s="404">
        <v>0</v>
      </c>
      <c r="H30" s="404">
        <v>0</v>
      </c>
      <c r="I30" s="404">
        <v>0</v>
      </c>
      <c r="J30" s="404">
        <v>0</v>
      </c>
      <c r="K30" s="404">
        <v>0</v>
      </c>
      <c r="L30" s="404">
        <v>0</v>
      </c>
      <c r="M30" s="404">
        <v>0</v>
      </c>
      <c r="N30" s="404">
        <v>0</v>
      </c>
      <c r="O30" s="404">
        <v>0</v>
      </c>
      <c r="P30" s="182">
        <f>SUM(D30:O30)</f>
        <v>0</v>
      </c>
      <c r="Q30" s="201"/>
      <c r="R30" s="201"/>
      <c r="S30" s="201"/>
      <c r="T30" s="179"/>
      <c r="U30" s="179"/>
      <c r="V30" s="179"/>
      <c r="W30" s="179"/>
      <c r="X30" s="179"/>
      <c r="Y30" s="179"/>
      <c r="Z30" s="178"/>
      <c r="AA30" s="179"/>
      <c r="AB30" s="179"/>
      <c r="AC30" s="179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</row>
    <row r="31" spans="1:77" x14ac:dyDescent="0.2">
      <c r="A31" s="176" t="s">
        <v>29</v>
      </c>
      <c r="B31" s="187"/>
      <c r="C31" s="187"/>
      <c r="D31" s="209">
        <f t="shared" ref="D31:J31" si="8">SUM(D28:D30)</f>
        <v>223966.54</v>
      </c>
      <c r="E31" s="209">
        <f t="shared" si="8"/>
        <v>206500.00999999998</v>
      </c>
      <c r="F31" s="209">
        <f t="shared" si="8"/>
        <v>207591.26</v>
      </c>
      <c r="G31" s="209">
        <f t="shared" si="8"/>
        <v>222760.83</v>
      </c>
      <c r="H31" s="209">
        <f t="shared" si="8"/>
        <v>194502.34</v>
      </c>
      <c r="I31" s="209">
        <f t="shared" si="8"/>
        <v>217213.57</v>
      </c>
      <c r="J31" s="209">
        <f t="shared" si="8"/>
        <v>220483.87999999998</v>
      </c>
      <c r="K31" s="209">
        <f>SUM(K28:K30)</f>
        <v>220483.87999999998</v>
      </c>
      <c r="L31" s="209">
        <f>SUM(L28:L30)</f>
        <v>220483.87999999998</v>
      </c>
      <c r="M31" s="209">
        <f>SUM(M28:M30)</f>
        <v>220483.87999999998</v>
      </c>
      <c r="N31" s="209">
        <f>SUM(N28:N30)</f>
        <v>220483.87999999998</v>
      </c>
      <c r="O31" s="209">
        <f>SUM(O28:O30)</f>
        <v>220483.87999999998</v>
      </c>
      <c r="P31" s="204">
        <f>SUM(D31:O31)</f>
        <v>2595437.8299999996</v>
      </c>
      <c r="Q31" s="201"/>
      <c r="R31" s="201"/>
      <c r="S31" s="201"/>
      <c r="T31" s="179"/>
      <c r="U31" s="179"/>
      <c r="V31" s="179"/>
      <c r="W31" s="179"/>
      <c r="X31" s="179"/>
      <c r="Y31" s="179"/>
      <c r="Z31" s="178"/>
      <c r="AA31" s="179"/>
      <c r="AB31" s="179"/>
      <c r="AC31" s="179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</row>
    <row r="32" spans="1:77" x14ac:dyDescent="0.2">
      <c r="B32" s="187"/>
      <c r="C32" s="187"/>
      <c r="D32" s="209"/>
      <c r="E32" s="209"/>
      <c r="F32" s="209"/>
      <c r="G32" s="209"/>
      <c r="H32" s="209"/>
      <c r="I32" s="209"/>
      <c r="J32" s="209"/>
      <c r="K32" s="210"/>
      <c r="L32" s="210"/>
      <c r="M32" s="209"/>
      <c r="N32" s="209"/>
      <c r="O32" s="209"/>
      <c r="P32" s="199"/>
      <c r="Q32" s="201"/>
      <c r="R32" s="201"/>
      <c r="S32" s="201"/>
      <c r="T32" s="179"/>
      <c r="U32" s="179"/>
      <c r="V32" s="179"/>
      <c r="W32" s="179"/>
      <c r="X32" s="179"/>
      <c r="Y32" s="179"/>
      <c r="Z32" s="178"/>
      <c r="AA32" s="179"/>
      <c r="AB32" s="179"/>
      <c r="AC32" s="179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</row>
    <row r="33" spans="1:131" x14ac:dyDescent="0.2">
      <c r="A33" s="176" t="s">
        <v>54</v>
      </c>
      <c r="B33" s="187"/>
      <c r="C33" s="187"/>
      <c r="D33" s="209">
        <f t="shared" ref="D33:J33" si="9">+D31-D26</f>
        <v>223966.54</v>
      </c>
      <c r="E33" s="209">
        <f t="shared" si="9"/>
        <v>95515.209999999977</v>
      </c>
      <c r="F33" s="209">
        <f t="shared" si="9"/>
        <v>133930.79999999999</v>
      </c>
      <c r="G33" s="209">
        <f t="shared" si="9"/>
        <v>84861.109999999986</v>
      </c>
      <c r="H33" s="209">
        <f t="shared" si="9"/>
        <v>-77829.850000000006</v>
      </c>
      <c r="I33" s="209">
        <f t="shared" si="9"/>
        <v>-192488.96000000002</v>
      </c>
      <c r="J33" s="209">
        <f t="shared" si="9"/>
        <v>-70150.46000000005</v>
      </c>
      <c r="K33" s="210">
        <f t="shared" ref="K33:P33" si="10">+K31-K26</f>
        <v>-54298.380000000034</v>
      </c>
      <c r="L33" s="210">
        <f t="shared" si="10"/>
        <v>109554.34405867105</v>
      </c>
      <c r="M33" s="209">
        <f t="shared" si="10"/>
        <v>136283.28001462543</v>
      </c>
      <c r="N33" s="209">
        <f t="shared" si="10"/>
        <v>148976.35322864185</v>
      </c>
      <c r="O33" s="209">
        <f t="shared" si="10"/>
        <v>151860.47307172453</v>
      </c>
      <c r="P33" s="210">
        <f t="shared" si="10"/>
        <v>690180.46037366241</v>
      </c>
      <c r="Q33" s="201"/>
      <c r="R33" s="201"/>
      <c r="S33" s="201"/>
      <c r="T33" s="179"/>
      <c r="U33" s="179"/>
      <c r="V33" s="179"/>
      <c r="W33" s="179"/>
      <c r="X33" s="179"/>
      <c r="Y33" s="179"/>
      <c r="Z33" s="178"/>
      <c r="AA33" s="179"/>
      <c r="AB33" s="179"/>
      <c r="AC33" s="179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</row>
    <row r="34" spans="1:131" x14ac:dyDescent="0.2">
      <c r="B34" s="187"/>
      <c r="C34" s="187"/>
      <c r="D34" s="211"/>
      <c r="E34" s="211"/>
      <c r="F34" s="211"/>
      <c r="G34" s="211"/>
      <c r="H34" s="211"/>
      <c r="I34" s="211"/>
      <c r="J34" s="211"/>
      <c r="K34" s="201"/>
      <c r="L34" s="201"/>
      <c r="M34" s="211"/>
      <c r="N34" s="211"/>
      <c r="O34" s="211"/>
      <c r="P34" s="201"/>
      <c r="Q34" s="201"/>
      <c r="R34" s="201"/>
      <c r="S34" s="201"/>
      <c r="T34" s="179"/>
      <c r="U34" s="179"/>
      <c r="V34" s="179"/>
      <c r="W34" s="179"/>
      <c r="X34" s="179"/>
      <c r="Y34" s="179"/>
      <c r="Z34" s="178"/>
      <c r="AA34" s="179"/>
      <c r="AB34" s="179"/>
      <c r="AC34" s="179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</row>
    <row r="35" spans="1:131" x14ac:dyDescent="0.2">
      <c r="A35" s="176" t="s">
        <v>118</v>
      </c>
      <c r="B35" s="187" t="s">
        <v>56</v>
      </c>
      <c r="C35" s="192">
        <v>-123040.21978778001</v>
      </c>
      <c r="D35" s="211">
        <f t="shared" ref="D35:J35" si="11">+C35+D33</f>
        <v>100926.32021222</v>
      </c>
      <c r="E35" s="211">
        <f t="shared" si="11"/>
        <v>196441.53021221998</v>
      </c>
      <c r="F35" s="211">
        <f t="shared" si="11"/>
        <v>330372.33021221997</v>
      </c>
      <c r="G35" s="211">
        <f t="shared" si="11"/>
        <v>415233.44021221995</v>
      </c>
      <c r="H35" s="211">
        <f t="shared" si="11"/>
        <v>337403.59021221998</v>
      </c>
      <c r="I35" s="211">
        <f t="shared" si="11"/>
        <v>144914.63021221996</v>
      </c>
      <c r="J35" s="211">
        <f t="shared" si="11"/>
        <v>74764.170212219906</v>
      </c>
      <c r="K35" s="201">
        <f>+J35+K33</f>
        <v>20465.790212219872</v>
      </c>
      <c r="L35" s="201">
        <f>+K35+L33</f>
        <v>130020.13427089092</v>
      </c>
      <c r="M35" s="211">
        <f>+L35+M33</f>
        <v>266303.41428551637</v>
      </c>
      <c r="N35" s="211">
        <f>+M35+N33</f>
        <v>415279.76751415821</v>
      </c>
      <c r="O35" s="211">
        <f>+N35+O33</f>
        <v>567140.24058588268</v>
      </c>
      <c r="P35" s="201">
        <f>+O35</f>
        <v>567140.24058588268</v>
      </c>
      <c r="Q35" s="201"/>
      <c r="R35" s="201"/>
      <c r="S35" s="201"/>
      <c r="T35" s="179"/>
      <c r="U35" s="179"/>
      <c r="V35" s="179"/>
      <c r="W35" s="179"/>
      <c r="X35" s="179"/>
      <c r="Y35" s="179"/>
      <c r="Z35" s="178"/>
      <c r="AA35" s="179"/>
      <c r="AB35" s="179"/>
      <c r="AC35" s="179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</row>
    <row r="36" spans="1:131" x14ac:dyDescent="0.2">
      <c r="A36" s="176" t="s">
        <v>27</v>
      </c>
      <c r="B36" s="187"/>
      <c r="C36" s="199"/>
      <c r="D36" s="413">
        <f>(AVERAGE(C35:D35)*(1-'PS INPUTS'!$C$81)*D37/12)</f>
        <v>-11.390823600746842</v>
      </c>
      <c r="E36" s="413">
        <f>(AVERAGE(D35:E35)*(1-'PS INPUTS'!$C$81)*E37/12)</f>
        <v>161.96821441357679</v>
      </c>
      <c r="F36" s="413">
        <f>(AVERAGE(E35:F35)*(1-'PS INPUTS'!$C$81)*F37/12)</f>
        <v>309.01364512071405</v>
      </c>
      <c r="G36" s="413">
        <f>(AVERAGE(F35:G35)*(1-'PS INPUTS'!$C$82)*G37/12)</f>
        <v>562.81678777603634</v>
      </c>
      <c r="H36" s="413">
        <f>(AVERAGE(G35:H35)*(1-'PS INPUTS'!$C$82)*H37/12)</f>
        <v>622.23137534794944</v>
      </c>
      <c r="I36" s="413">
        <f>(AVERAGE(H35:I35)*(1-'PS INPUTS'!$C$82)*I37/12)</f>
        <v>407.41781817917763</v>
      </c>
      <c r="J36" s="413">
        <f>(AVERAGE(I35:J35)*(1-'PS INPUTS'!$C$82)*J37/12)</f>
        <v>187.53841892984167</v>
      </c>
      <c r="K36" s="413">
        <f>(AVERAGE(J35:K35)*(1-'PS INPUTS'!$C$82)*K37/12)</f>
        <v>81.297222027091578</v>
      </c>
      <c r="L36" s="413">
        <f>(AVERAGE(K35:L35)*(1-'PS INPUTS'!$C$82)*L37/12)</f>
        <v>128.46889319420364</v>
      </c>
      <c r="M36" s="413">
        <f>(AVERAGE(L35:M35)*(1-'PS INPUTS'!$C$82)*M37/12)</f>
        <v>338.33893638042645</v>
      </c>
      <c r="N36" s="413">
        <f>(AVERAGE(M35:N35)*(1-'PS INPUTS'!$C$82)*N37/12)</f>
        <v>581.86330240749601</v>
      </c>
      <c r="O36" s="413">
        <f>(AVERAGE(N35:O35)*(1-'PS INPUTS'!$C$82)*O37/12)</f>
        <v>838.68582078995439</v>
      </c>
      <c r="P36" s="212">
        <f>SUM(D36:O36)</f>
        <v>4208.2496109657213</v>
      </c>
      <c r="Q36" s="212"/>
      <c r="R36" s="212"/>
      <c r="S36" s="212"/>
      <c r="T36" s="179"/>
      <c r="U36" s="179"/>
      <c r="V36" s="179"/>
      <c r="W36" s="179"/>
      <c r="X36" s="179"/>
      <c r="Y36" s="179"/>
      <c r="Z36" s="178"/>
      <c r="AA36" s="179"/>
      <c r="AB36" s="179"/>
      <c r="AC36" s="179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</row>
    <row r="37" spans="1:131" x14ac:dyDescent="0.2">
      <c r="B37" s="213"/>
      <c r="C37" s="214"/>
      <c r="D37" s="215">
        <f>D69</f>
        <v>2.0899999999999998E-2</v>
      </c>
      <c r="E37" s="215">
        <f t="shared" ref="E37:N37" si="12">E69</f>
        <v>2.2099999999999998E-2</v>
      </c>
      <c r="F37" s="215">
        <f t="shared" si="12"/>
        <v>2.3799999999999998E-2</v>
      </c>
      <c r="G37" s="215">
        <f t="shared" si="12"/>
        <v>2.52E-2</v>
      </c>
      <c r="H37" s="215">
        <f t="shared" si="12"/>
        <v>2.7600000000000003E-2</v>
      </c>
      <c r="I37" s="215">
        <f t="shared" si="12"/>
        <v>2.8200000000000003E-2</v>
      </c>
      <c r="J37" s="215">
        <f t="shared" si="12"/>
        <v>2.8500000000000001E-2</v>
      </c>
      <c r="K37" s="215">
        <f t="shared" si="12"/>
        <v>2.8500000000000001E-2</v>
      </c>
      <c r="L37" s="215">
        <f t="shared" si="12"/>
        <v>2.8500000000000001E-2</v>
      </c>
      <c r="M37" s="215">
        <f t="shared" si="12"/>
        <v>2.8500000000000001E-2</v>
      </c>
      <c r="N37" s="215">
        <f t="shared" si="12"/>
        <v>2.8500000000000001E-2</v>
      </c>
      <c r="O37" s="215">
        <f>O69</f>
        <v>2.8500000000000001E-2</v>
      </c>
      <c r="P37" s="216"/>
      <c r="Q37" s="201"/>
      <c r="R37" s="201"/>
      <c r="S37" s="201"/>
      <c r="T37" s="179"/>
      <c r="U37" s="179"/>
      <c r="V37" s="179"/>
      <c r="W37" s="179"/>
      <c r="X37" s="179"/>
      <c r="Y37" s="179"/>
      <c r="Z37" s="178"/>
      <c r="AA37" s="179"/>
      <c r="AB37" s="179"/>
      <c r="AC37" s="179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</row>
    <row r="38" spans="1:131" x14ac:dyDescent="0.2">
      <c r="B38" s="213"/>
      <c r="C38" s="214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01"/>
      <c r="Q38" s="201"/>
      <c r="R38" s="202"/>
      <c r="S38" s="202"/>
      <c r="T38" s="179"/>
      <c r="U38" s="179"/>
      <c r="V38" s="179"/>
      <c r="W38" s="179"/>
      <c r="X38" s="179"/>
      <c r="Y38" s="179"/>
      <c r="Z38" s="178"/>
      <c r="AA38" s="179"/>
      <c r="AB38" s="179"/>
      <c r="AC38" s="179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</row>
    <row r="39" spans="1:131" x14ac:dyDescent="0.2">
      <c r="A39" s="176" t="s">
        <v>117</v>
      </c>
      <c r="B39" s="187"/>
      <c r="C39" s="217"/>
      <c r="D39" s="211">
        <f>+C35+C36+D33+D36</f>
        <v>100914.92938861926</v>
      </c>
      <c r="E39" s="211">
        <f>(D39+E33+E36)</f>
        <v>196592.10760303281</v>
      </c>
      <c r="F39" s="211">
        <f>E39+F33+F36</f>
        <v>330831.92124815349</v>
      </c>
      <c r="G39" s="211">
        <f>F39+G33+G36</f>
        <v>416255.84803592949</v>
      </c>
      <c r="H39" s="211">
        <f>G39+H33+H36</f>
        <v>339048.22941127745</v>
      </c>
      <c r="I39" s="211">
        <f>H39+I33+I36</f>
        <v>146966.68722945661</v>
      </c>
      <c r="J39" s="211">
        <f t="shared" ref="J39:O39" si="13">+I39+J33+J36</f>
        <v>77003.765648386398</v>
      </c>
      <c r="K39" s="201">
        <f t="shared" si="13"/>
        <v>22786.682870413457</v>
      </c>
      <c r="L39" s="201">
        <f>+K39+L33+L36</f>
        <v>132469.4958222787</v>
      </c>
      <c r="M39" s="201">
        <f t="shared" si="13"/>
        <v>269091.11477328453</v>
      </c>
      <c r="N39" s="211">
        <f t="shared" si="13"/>
        <v>418649.33130433387</v>
      </c>
      <c r="O39" s="211">
        <f t="shared" si="13"/>
        <v>571348.4901968484</v>
      </c>
      <c r="P39" s="201">
        <f>+P35+P36</f>
        <v>571348.4901968484</v>
      </c>
      <c r="Q39" s="201"/>
      <c r="R39" s="201"/>
      <c r="S39" s="201"/>
      <c r="T39" s="179"/>
      <c r="U39" s="179"/>
      <c r="V39" s="179"/>
      <c r="W39" s="179"/>
      <c r="X39" s="179"/>
      <c r="Y39" s="179"/>
      <c r="Z39" s="178"/>
      <c r="AA39" s="179"/>
      <c r="AB39" s="179"/>
      <c r="AC39" s="179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</row>
    <row r="40" spans="1:131" x14ac:dyDescent="0.2">
      <c r="B40" s="187"/>
      <c r="C40" s="187"/>
      <c r="D40" s="211"/>
      <c r="E40" s="211"/>
      <c r="F40" s="211"/>
      <c r="G40" s="211"/>
      <c r="H40" s="211"/>
      <c r="I40" s="211"/>
      <c r="J40" s="211"/>
      <c r="K40" s="201"/>
      <c r="L40" s="201"/>
      <c r="M40" s="201"/>
      <c r="N40" s="211"/>
      <c r="O40" s="211"/>
      <c r="P40" s="201"/>
      <c r="Q40" s="201"/>
      <c r="R40" s="202"/>
      <c r="S40" s="202"/>
      <c r="T40" s="179"/>
      <c r="U40" s="179"/>
      <c r="V40" s="179"/>
      <c r="W40" s="179"/>
      <c r="X40" s="179"/>
      <c r="Y40" s="179"/>
      <c r="Z40" s="178"/>
      <c r="AA40" s="179"/>
      <c r="AB40" s="179"/>
      <c r="AC40" s="179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</row>
    <row r="41" spans="1:131" x14ac:dyDescent="0.2">
      <c r="A41" s="197" t="s">
        <v>7</v>
      </c>
      <c r="B41" s="198"/>
      <c r="C41" s="187"/>
      <c r="D41" s="218"/>
      <c r="E41" s="218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1"/>
      <c r="R41" s="202"/>
      <c r="S41" s="202"/>
      <c r="T41" s="179"/>
      <c r="U41" s="179"/>
      <c r="V41" s="179"/>
      <c r="W41" s="179"/>
      <c r="X41" s="179"/>
      <c r="Y41" s="179"/>
      <c r="Z41" s="219"/>
      <c r="AA41" s="179"/>
      <c r="AB41" s="179"/>
      <c r="AC41" s="17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  <c r="BP41" s="219"/>
      <c r="BQ41" s="219"/>
      <c r="BR41" s="219"/>
      <c r="BS41" s="219"/>
      <c r="BT41" s="219"/>
      <c r="BU41" s="219"/>
      <c r="BV41" s="219"/>
      <c r="BW41" s="219"/>
      <c r="BX41" s="219"/>
      <c r="BY41" s="219"/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20"/>
      <c r="CL41" s="220"/>
      <c r="CM41" s="220"/>
      <c r="CN41" s="220"/>
      <c r="CO41" s="220"/>
      <c r="CP41" s="220"/>
      <c r="CQ41" s="220"/>
      <c r="CR41" s="220"/>
      <c r="CS41" s="220"/>
      <c r="CT41" s="220"/>
      <c r="CU41" s="220"/>
      <c r="CV41" s="220"/>
      <c r="CW41" s="220"/>
      <c r="CX41" s="220"/>
      <c r="CY41" s="220"/>
      <c r="CZ41" s="220"/>
      <c r="DA41" s="220"/>
      <c r="DB41" s="220"/>
      <c r="DC41" s="220"/>
      <c r="DD41" s="220"/>
      <c r="DE41" s="220"/>
      <c r="DF41" s="220"/>
      <c r="DG41" s="220"/>
      <c r="DH41" s="220"/>
      <c r="DI41" s="220"/>
      <c r="DJ41" s="220"/>
      <c r="DK41" s="220"/>
      <c r="DL41" s="220"/>
      <c r="DM41" s="220"/>
      <c r="DN41" s="220"/>
      <c r="DO41" s="220"/>
      <c r="DP41" s="220"/>
      <c r="DQ41" s="220"/>
      <c r="DR41" s="220"/>
      <c r="DS41" s="220"/>
      <c r="DT41" s="220"/>
      <c r="DU41" s="220"/>
      <c r="DV41" s="220"/>
      <c r="DW41" s="220"/>
      <c r="DX41" s="220"/>
      <c r="DY41" s="220"/>
      <c r="DZ41" s="220"/>
      <c r="EA41" s="220"/>
    </row>
    <row r="42" spans="1:131" x14ac:dyDescent="0.2">
      <c r="A42" s="176" t="s">
        <v>131</v>
      </c>
      <c r="B42" s="187"/>
      <c r="C42" s="185"/>
      <c r="D42" s="405">
        <v>0</v>
      </c>
      <c r="E42" s="405">
        <v>150730.48000000001</v>
      </c>
      <c r="F42" s="405">
        <v>93062.62</v>
      </c>
      <c r="G42" s="405">
        <v>141302.76</v>
      </c>
      <c r="H42" s="405">
        <v>250838.13</v>
      </c>
      <c r="I42" s="405">
        <v>345793.32</v>
      </c>
      <c r="J42" s="405">
        <v>291532.62</v>
      </c>
      <c r="K42" s="406">
        <f>'$ Transfer from State'!D10</f>
        <v>260634.12</v>
      </c>
      <c r="L42" s="406">
        <f>'$ Transfer from State'!E10</f>
        <v>113462.36566841826</v>
      </c>
      <c r="M42" s="406">
        <f>'$ Transfer from State'!F10</f>
        <v>86123.133789126427</v>
      </c>
      <c r="N42" s="406">
        <f>'$ Transfer from State'!G10</f>
        <v>73140.242422606549</v>
      </c>
      <c r="O42" s="406">
        <f>'$ Transfer from State'!H10</f>
        <v>70190.270104679745</v>
      </c>
      <c r="P42" s="236">
        <f>SUM(D42:O42)</f>
        <v>1876810.0619848315</v>
      </c>
      <c r="Q42" s="222"/>
      <c r="R42" s="222"/>
      <c r="S42" s="222"/>
      <c r="T42" s="179"/>
      <c r="U42" s="179"/>
      <c r="V42" s="179"/>
      <c r="W42" s="179"/>
      <c r="X42" s="179"/>
      <c r="Y42" s="179"/>
      <c r="Z42" s="178"/>
      <c r="AA42" s="179"/>
      <c r="AB42" s="179"/>
      <c r="AC42" s="179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</row>
    <row r="43" spans="1:131" x14ac:dyDescent="0.2">
      <c r="B43" s="223"/>
      <c r="C43" s="185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182"/>
      <c r="Q43" s="222"/>
      <c r="R43" s="222"/>
      <c r="S43" s="222"/>
      <c r="T43" s="179"/>
      <c r="U43" s="179"/>
      <c r="V43" s="179"/>
      <c r="W43" s="179"/>
      <c r="X43" s="179"/>
      <c r="Y43" s="179"/>
      <c r="Z43" s="178"/>
      <c r="AA43" s="179"/>
      <c r="AB43" s="179"/>
      <c r="AC43" s="179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</row>
    <row r="44" spans="1:131" x14ac:dyDescent="0.2">
      <c r="A44" s="176" t="s">
        <v>26</v>
      </c>
      <c r="B44" s="223"/>
      <c r="C44" s="185"/>
      <c r="D44" s="407">
        <v>280270.98000000004</v>
      </c>
      <c r="E44" s="407">
        <v>204642.49000000002</v>
      </c>
      <c r="F44" s="407">
        <v>187045.47</v>
      </c>
      <c r="G44" s="407">
        <v>184345.69</v>
      </c>
      <c r="H44" s="407">
        <v>190469.21</v>
      </c>
      <c r="I44" s="407">
        <v>203284.02999999997</v>
      </c>
      <c r="J44" s="407">
        <v>218430.71999999997</v>
      </c>
      <c r="K44" s="407">
        <v>218430.71999999997</v>
      </c>
      <c r="L44" s="407">
        <v>218430.71999999997</v>
      </c>
      <c r="M44" s="407">
        <v>218430.71999999997</v>
      </c>
      <c r="N44" s="407">
        <v>218430.71999999997</v>
      </c>
      <c r="O44" s="407">
        <v>218430.71999999997</v>
      </c>
      <c r="P44" s="182">
        <f>SUM(D44:O44)</f>
        <v>2560642.1899999995</v>
      </c>
      <c r="Q44" s="222"/>
      <c r="R44" s="222"/>
      <c r="S44" s="222"/>
      <c r="T44" s="179"/>
      <c r="U44" s="179"/>
      <c r="V44" s="179"/>
      <c r="W44" s="179"/>
      <c r="X44" s="179"/>
      <c r="Y44" s="179"/>
      <c r="Z44" s="178"/>
      <c r="AA44" s="179"/>
      <c r="AB44" s="179"/>
      <c r="AC44" s="179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</row>
    <row r="45" spans="1:131" x14ac:dyDescent="0.2">
      <c r="A45" s="176" t="s">
        <v>55</v>
      </c>
      <c r="B45" s="223"/>
      <c r="C45" s="185"/>
      <c r="D45" s="407">
        <v>2687.62</v>
      </c>
      <c r="E45" s="407">
        <v>6953.45</v>
      </c>
      <c r="F45" s="407">
        <v>4161.2299999999996</v>
      </c>
      <c r="G45" s="407">
        <v>3666.98</v>
      </c>
      <c r="H45" s="407">
        <v>3093.03</v>
      </c>
      <c r="I45" s="407">
        <v>2744.99</v>
      </c>
      <c r="J45" s="407">
        <v>7087.42</v>
      </c>
      <c r="K45" s="407">
        <v>7087.42</v>
      </c>
      <c r="L45" s="407">
        <v>7087.42</v>
      </c>
      <c r="M45" s="407">
        <v>7087.42</v>
      </c>
      <c r="N45" s="407">
        <v>7087.42</v>
      </c>
      <c r="O45" s="407">
        <v>7087.42</v>
      </c>
      <c r="P45" s="182">
        <f>SUM(D45:O45)</f>
        <v>65831.819999999992</v>
      </c>
      <c r="Q45" s="222"/>
      <c r="R45" s="222"/>
      <c r="S45" s="222"/>
      <c r="T45" s="179"/>
      <c r="U45" s="179"/>
      <c r="V45" s="179"/>
      <c r="W45" s="179"/>
      <c r="X45" s="179"/>
      <c r="Y45" s="179"/>
      <c r="Z45" s="178"/>
      <c r="AA45" s="179"/>
      <c r="AB45" s="179"/>
      <c r="AC45" s="179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</row>
    <row r="46" spans="1:131" x14ac:dyDescent="0.2">
      <c r="A46" s="185" t="s">
        <v>138</v>
      </c>
      <c r="B46" s="223"/>
      <c r="C46" s="185"/>
      <c r="D46" s="408">
        <v>0</v>
      </c>
      <c r="E46" s="408">
        <v>-2304</v>
      </c>
      <c r="F46" s="408">
        <v>344.81</v>
      </c>
      <c r="G46" s="408">
        <v>0</v>
      </c>
      <c r="H46" s="408">
        <v>0</v>
      </c>
      <c r="I46" s="408">
        <v>502.58</v>
      </c>
      <c r="J46" s="408">
        <v>2304</v>
      </c>
      <c r="K46" s="408">
        <v>0</v>
      </c>
      <c r="L46" s="408">
        <v>611.66999999999996</v>
      </c>
      <c r="M46" s="408">
        <v>0</v>
      </c>
      <c r="N46" s="408">
        <v>0</v>
      </c>
      <c r="O46" s="408">
        <v>327.44</v>
      </c>
      <c r="P46" s="182">
        <f>SUM(D46:O46)</f>
        <v>1786.5</v>
      </c>
      <c r="Q46" s="222"/>
      <c r="R46" s="222"/>
      <c r="S46" s="222"/>
      <c r="T46" s="179"/>
      <c r="U46" s="179"/>
      <c r="V46" s="179"/>
      <c r="W46" s="179"/>
      <c r="X46" s="179"/>
      <c r="Y46" s="179"/>
      <c r="Z46" s="178"/>
      <c r="AA46" s="179"/>
      <c r="AB46" s="179"/>
      <c r="AC46" s="179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</row>
    <row r="47" spans="1:131" x14ac:dyDescent="0.2">
      <c r="A47" s="176" t="s">
        <v>29</v>
      </c>
      <c r="B47" s="223"/>
      <c r="C47" s="185"/>
      <c r="D47" s="209">
        <f t="shared" ref="D47:P47" si="14">SUM(D44:D46)</f>
        <v>282958.60000000003</v>
      </c>
      <c r="E47" s="209">
        <f t="shared" si="14"/>
        <v>209291.94000000003</v>
      </c>
      <c r="F47" s="209">
        <f t="shared" si="14"/>
        <v>191551.51</v>
      </c>
      <c r="G47" s="209">
        <f t="shared" si="14"/>
        <v>188012.67</v>
      </c>
      <c r="H47" s="209">
        <f t="shared" si="14"/>
        <v>193562.23999999999</v>
      </c>
      <c r="I47" s="186">
        <f t="shared" si="14"/>
        <v>206531.59999999995</v>
      </c>
      <c r="J47" s="186">
        <f t="shared" si="14"/>
        <v>227822.13999999998</v>
      </c>
      <c r="K47" s="186">
        <f t="shared" si="14"/>
        <v>225518.13999999998</v>
      </c>
      <c r="L47" s="186">
        <f t="shared" si="14"/>
        <v>226129.81</v>
      </c>
      <c r="M47" s="186">
        <f t="shared" si="14"/>
        <v>225518.13999999998</v>
      </c>
      <c r="N47" s="186">
        <f t="shared" si="14"/>
        <v>225518.13999999998</v>
      </c>
      <c r="O47" s="186">
        <f t="shared" si="14"/>
        <v>225845.58</v>
      </c>
      <c r="P47" s="221">
        <f t="shared" si="14"/>
        <v>2628260.5099999993</v>
      </c>
      <c r="Q47" s="222"/>
      <c r="R47" s="222"/>
      <c r="S47" s="222"/>
      <c r="T47" s="179"/>
      <c r="U47" s="179"/>
      <c r="V47" s="179"/>
      <c r="W47" s="179"/>
      <c r="X47" s="179"/>
      <c r="Y47" s="179"/>
      <c r="Z47" s="178"/>
      <c r="AA47" s="179"/>
      <c r="AB47" s="179"/>
      <c r="AC47" s="179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</row>
    <row r="48" spans="1:131" x14ac:dyDescent="0.2">
      <c r="B48" s="223"/>
      <c r="C48" s="185"/>
      <c r="D48" s="209"/>
      <c r="E48" s="209"/>
      <c r="F48" s="209"/>
      <c r="G48" s="209"/>
      <c r="H48" s="209"/>
      <c r="I48" s="226"/>
      <c r="J48" s="226"/>
      <c r="K48" s="226"/>
      <c r="L48" s="226"/>
      <c r="M48" s="226"/>
      <c r="N48" s="209"/>
      <c r="O48" s="209"/>
      <c r="P48" s="225"/>
      <c r="Q48" s="222"/>
      <c r="R48" s="222"/>
      <c r="S48" s="222"/>
      <c r="T48" s="179"/>
      <c r="U48" s="179"/>
      <c r="V48" s="179"/>
      <c r="W48" s="179"/>
      <c r="X48" s="179"/>
      <c r="Y48" s="179"/>
      <c r="Z48" s="178"/>
      <c r="AA48" s="179"/>
      <c r="AB48" s="179"/>
      <c r="AC48" s="179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</row>
    <row r="49" spans="1:77" x14ac:dyDescent="0.2">
      <c r="A49" s="176" t="s">
        <v>54</v>
      </c>
      <c r="B49" s="223"/>
      <c r="C49" s="227"/>
      <c r="D49" s="209">
        <f>+D47-D42</f>
        <v>282958.60000000003</v>
      </c>
      <c r="E49" s="209">
        <f>+E47-E42</f>
        <v>58561.460000000021</v>
      </c>
      <c r="F49" s="209">
        <f>+F47-F42</f>
        <v>98488.890000000014</v>
      </c>
      <c r="G49" s="209">
        <f>+G47-G42</f>
        <v>46709.91</v>
      </c>
      <c r="H49" s="209">
        <f>+H47-H42</f>
        <v>-57275.890000000014</v>
      </c>
      <c r="I49" s="226">
        <f t="shared" ref="I49:O49" si="15">+I47-I42</f>
        <v>-139261.72000000006</v>
      </c>
      <c r="J49" s="226">
        <f t="shared" si="15"/>
        <v>-63710.48000000001</v>
      </c>
      <c r="K49" s="226">
        <f t="shared" si="15"/>
        <v>-35115.98000000001</v>
      </c>
      <c r="L49" s="226">
        <f t="shared" si="15"/>
        <v>112667.44433158173</v>
      </c>
      <c r="M49" s="226">
        <f t="shared" si="15"/>
        <v>139395.00621087354</v>
      </c>
      <c r="N49" s="209">
        <f t="shared" si="15"/>
        <v>152377.89757739345</v>
      </c>
      <c r="O49" s="209">
        <f t="shared" si="15"/>
        <v>155655.30989532024</v>
      </c>
      <c r="P49" s="226">
        <f>+P47-P42</f>
        <v>751450.44801516784</v>
      </c>
      <c r="Q49" s="222"/>
      <c r="R49" s="222"/>
      <c r="S49" s="222"/>
      <c r="T49" s="179"/>
      <c r="U49" s="179"/>
      <c r="V49" s="179"/>
      <c r="W49" s="179"/>
      <c r="X49" s="179"/>
      <c r="Y49" s="179"/>
      <c r="Z49" s="178"/>
      <c r="AA49" s="179"/>
      <c r="AB49" s="179"/>
      <c r="AC49" s="179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</row>
    <row r="50" spans="1:77" x14ac:dyDescent="0.2">
      <c r="B50" s="223"/>
      <c r="C50" s="185"/>
      <c r="D50" s="211"/>
      <c r="E50" s="211"/>
      <c r="F50" s="211"/>
      <c r="G50" s="211"/>
      <c r="H50" s="211"/>
      <c r="I50" s="222"/>
      <c r="J50" s="222"/>
      <c r="K50" s="222"/>
      <c r="L50" s="222"/>
      <c r="M50" s="222"/>
      <c r="N50" s="211"/>
      <c r="O50" s="211"/>
      <c r="P50" s="222"/>
      <c r="Q50" s="222"/>
      <c r="R50" s="222"/>
      <c r="S50" s="222"/>
      <c r="T50" s="179"/>
      <c r="U50" s="179"/>
      <c r="V50" s="179"/>
      <c r="W50" s="179"/>
      <c r="X50" s="179"/>
      <c r="Y50" s="179"/>
      <c r="Z50" s="178"/>
      <c r="AA50" s="179"/>
      <c r="AB50" s="179"/>
      <c r="AC50" s="179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</row>
    <row r="51" spans="1:77" x14ac:dyDescent="0.2">
      <c r="A51" s="176" t="s">
        <v>118</v>
      </c>
      <c r="B51" s="187" t="s">
        <v>56</v>
      </c>
      <c r="C51" s="182">
        <v>-2700442.2000000007</v>
      </c>
      <c r="D51" s="211">
        <f>+C51+D49</f>
        <v>-2417483.6000000006</v>
      </c>
      <c r="E51" s="211">
        <f>+D51+E49</f>
        <v>-2358922.1400000006</v>
      </c>
      <c r="F51" s="211">
        <f>+E51+F49</f>
        <v>-2260433.2500000005</v>
      </c>
      <c r="G51" s="211">
        <f>+F51+G49</f>
        <v>-2213723.3400000003</v>
      </c>
      <c r="H51" s="211">
        <f>+G51+H49</f>
        <v>-2270999.2300000004</v>
      </c>
      <c r="I51" s="211">
        <f t="shared" ref="I51:O51" si="16">+H51+I49</f>
        <v>-2410260.9500000007</v>
      </c>
      <c r="J51" s="211">
        <f t="shared" si="16"/>
        <v>-2473971.4300000006</v>
      </c>
      <c r="K51" s="222">
        <f t="shared" si="16"/>
        <v>-2509087.4100000006</v>
      </c>
      <c r="L51" s="222">
        <f t="shared" si="16"/>
        <v>-2396419.9656684189</v>
      </c>
      <c r="M51" s="222">
        <f t="shared" si="16"/>
        <v>-2257024.9594575455</v>
      </c>
      <c r="N51" s="211">
        <f t="shared" si="16"/>
        <v>-2104647.0618801522</v>
      </c>
      <c r="O51" s="211">
        <f t="shared" si="16"/>
        <v>-1948991.7519848319</v>
      </c>
      <c r="P51" s="222">
        <f>+O51</f>
        <v>-1948991.7519848319</v>
      </c>
      <c r="Q51" s="222"/>
      <c r="R51" s="222"/>
      <c r="S51" s="222"/>
      <c r="T51" s="179"/>
      <c r="U51" s="179"/>
      <c r="V51" s="179"/>
      <c r="W51" s="179"/>
      <c r="X51" s="179"/>
      <c r="Y51" s="179"/>
      <c r="Z51" s="178"/>
      <c r="AA51" s="179"/>
      <c r="AB51" s="179"/>
      <c r="AC51" s="179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</row>
    <row r="52" spans="1:77" x14ac:dyDescent="0.2">
      <c r="A52" s="176" t="s">
        <v>27</v>
      </c>
      <c r="B52" s="229"/>
      <c r="C52" s="182">
        <v>-111279</v>
      </c>
      <c r="D52" s="413">
        <f>(AVERAGE(C51:D51)*(1-'PS INPUTS'!$C$81)*D53/12)</f>
        <v>-2636.232917234584</v>
      </c>
      <c r="E52" s="413">
        <f>(AVERAGE(D51:E51)*(1-'PS INPUTS'!$C$81)*E53/12)</f>
        <v>-2601.5788455892093</v>
      </c>
      <c r="F52" s="413">
        <f>(AVERAGE(E51:F51)*(1-'PS INPUTS'!$C$81)*F53/12)</f>
        <v>-2709.5791405751256</v>
      </c>
      <c r="G52" s="413">
        <f>(AVERAGE(F51:G51)*(1-'PS INPUTS'!$C$82)*G53/12)</f>
        <v>-3377.2947311785506</v>
      </c>
      <c r="H52" s="413">
        <f>(AVERAGE(G51:H51)*(1-'PS INPUTS'!$C$82)*H53/12)</f>
        <v>-3707.6771139089501</v>
      </c>
      <c r="I52" s="413">
        <f>(AVERAGE(H51:I51)*(1-'PS INPUTS'!$C$82)*I53/12)</f>
        <v>-3954.2955834973513</v>
      </c>
      <c r="J52" s="413">
        <f>(AVERAGE(I51:J51)*(1-'PS INPUTS'!$C$82)*J53/12)</f>
        <v>-4169.6386563536253</v>
      </c>
      <c r="K52" s="413">
        <f>(AVERAGE(J51:K51)*(1-'PS INPUTS'!$C$82)*K53/12)</f>
        <v>-4254.0061875902511</v>
      </c>
      <c r="L52" s="413">
        <f>(AVERAGE(K51:L51)*(1-'PS INPUTS'!$C$82)*L53/12)</f>
        <v>-4187.8009871870318</v>
      </c>
      <c r="M52" s="413">
        <f>(AVERAGE(L51:M51)*(1-'PS INPUTS'!$C$82)*M53/12)</f>
        <v>-3972.6168485492531</v>
      </c>
      <c r="N52" s="413">
        <f>(AVERAGE(M51:N51)*(1-'PS INPUTS'!$C$82)*N53/12)</f>
        <v>-3723.532144165858</v>
      </c>
      <c r="O52" s="413">
        <f>(AVERAGE(N51:O51)*(1-'PS INPUTS'!$C$82)*O53/12)</f>
        <v>-3460.5661201539497</v>
      </c>
      <c r="P52" s="230">
        <f>SUM(C52:O52)</f>
        <v>-154033.81927598375</v>
      </c>
      <c r="Q52" s="230">
        <f>+P52-C52</f>
        <v>-42754.819275983755</v>
      </c>
      <c r="R52" s="230"/>
      <c r="S52" s="230"/>
      <c r="T52" s="179"/>
      <c r="U52" s="179"/>
      <c r="V52" s="179"/>
      <c r="W52" s="179"/>
      <c r="X52" s="179"/>
      <c r="Y52" s="179"/>
      <c r="Z52" s="178"/>
      <c r="AA52" s="179"/>
      <c r="AB52" s="179"/>
      <c r="AC52" s="179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</row>
    <row r="53" spans="1:77" x14ac:dyDescent="0.2">
      <c r="B53" s="231"/>
      <c r="C53" s="232"/>
      <c r="D53" s="215">
        <v>2.0900000000000002E-2</v>
      </c>
      <c r="E53" s="215">
        <v>2.2100000000000002E-2</v>
      </c>
      <c r="F53" s="215">
        <v>2.3800000000000002E-2</v>
      </c>
      <c r="G53" s="215">
        <v>2.52E-2</v>
      </c>
      <c r="H53" s="215">
        <v>2.76E-2</v>
      </c>
      <c r="I53" s="215">
        <v>2.8200000000000003E-2</v>
      </c>
      <c r="J53" s="215">
        <v>2.8499999999999998E-2</v>
      </c>
      <c r="K53" s="215">
        <v>2.8499999999999998E-2</v>
      </c>
      <c r="L53" s="215">
        <v>2.8499999999999998E-2</v>
      </c>
      <c r="M53" s="215">
        <v>2.8499999999999998E-2</v>
      </c>
      <c r="N53" s="215">
        <v>2.8499999999999998E-2</v>
      </c>
      <c r="O53" s="215">
        <v>2.8499999999999998E-2</v>
      </c>
      <c r="P53" s="210"/>
      <c r="Q53" s="222"/>
      <c r="R53" s="222"/>
      <c r="S53" s="222"/>
      <c r="T53" s="179"/>
      <c r="U53" s="179"/>
      <c r="V53" s="179"/>
      <c r="W53" s="179"/>
      <c r="X53" s="179"/>
      <c r="Y53" s="179"/>
      <c r="Z53" s="178"/>
      <c r="AA53" s="179"/>
      <c r="AB53" s="179"/>
      <c r="AC53" s="179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</row>
    <row r="54" spans="1:77" x14ac:dyDescent="0.2">
      <c r="B54" s="231"/>
      <c r="C54" s="232"/>
      <c r="D54" s="211"/>
      <c r="E54" s="211"/>
      <c r="F54" s="211"/>
      <c r="G54" s="211"/>
      <c r="H54" s="211"/>
      <c r="I54" s="222"/>
      <c r="J54" s="222"/>
      <c r="K54" s="222"/>
      <c r="L54" s="222"/>
      <c r="M54" s="222"/>
      <c r="N54" s="211"/>
      <c r="O54" s="211"/>
      <c r="P54" s="222"/>
      <c r="Q54" s="222"/>
      <c r="R54" s="222"/>
      <c r="S54" s="222"/>
      <c r="T54" s="179"/>
      <c r="U54" s="179"/>
      <c r="V54" s="179"/>
      <c r="W54" s="179"/>
      <c r="X54" s="179"/>
      <c r="Y54" s="179"/>
      <c r="Z54" s="178"/>
      <c r="AA54" s="179"/>
      <c r="AB54" s="179"/>
      <c r="AC54" s="179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</row>
    <row r="55" spans="1:77" x14ac:dyDescent="0.2">
      <c r="A55" s="176" t="s">
        <v>117</v>
      </c>
      <c r="B55" s="223"/>
      <c r="C55" s="185"/>
      <c r="D55" s="211">
        <f>+C51+C52+D49+D52</f>
        <v>-2531398.8329172353</v>
      </c>
      <c r="E55" s="211">
        <f>(D55+E49+E52)</f>
        <v>-2475438.9517628248</v>
      </c>
      <c r="F55" s="211">
        <f>E55+F49+F52</f>
        <v>-2379659.6409033998</v>
      </c>
      <c r="G55" s="211">
        <f>F55+G49+G52</f>
        <v>-2336327.025634578</v>
      </c>
      <c r="H55" s="211">
        <f>G55+H49+H52</f>
        <v>-2397310.5927484869</v>
      </c>
      <c r="I55" s="222">
        <f>H55+I49+I52</f>
        <v>-2540526.6083319844</v>
      </c>
      <c r="J55" s="222">
        <f t="shared" ref="J55:O55" si="17">+I55+J49+J52</f>
        <v>-2608406.7269883379</v>
      </c>
      <c r="K55" s="222">
        <f t="shared" si="17"/>
        <v>-2647776.7131759282</v>
      </c>
      <c r="L55" s="222">
        <f t="shared" si="17"/>
        <v>-2539297.0698315334</v>
      </c>
      <c r="M55" s="222">
        <f t="shared" si="17"/>
        <v>-2403874.6804692093</v>
      </c>
      <c r="N55" s="211">
        <f t="shared" si="17"/>
        <v>-2255220.3150359821</v>
      </c>
      <c r="O55" s="211">
        <f t="shared" si="17"/>
        <v>-2103025.5712608155</v>
      </c>
      <c r="P55" s="222">
        <f>+P51+P52</f>
        <v>-2103025.5712608155</v>
      </c>
      <c r="Q55" s="222"/>
      <c r="R55" s="222"/>
      <c r="S55" s="222"/>
      <c r="T55" s="179"/>
      <c r="U55" s="179"/>
      <c r="V55" s="179"/>
      <c r="W55" s="179"/>
      <c r="X55" s="179"/>
      <c r="Y55" s="179"/>
      <c r="Z55" s="178"/>
      <c r="AA55" s="179"/>
      <c r="AB55" s="179"/>
      <c r="AC55" s="179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</row>
    <row r="56" spans="1:77" x14ac:dyDescent="0.2">
      <c r="B56" s="223"/>
      <c r="C56" s="223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2"/>
      <c r="R56" s="233"/>
      <c r="S56" s="233"/>
      <c r="T56" s="179"/>
      <c r="U56" s="179"/>
      <c r="V56" s="179"/>
      <c r="W56" s="179"/>
      <c r="X56" s="179"/>
      <c r="Y56" s="179"/>
      <c r="Z56" s="178"/>
      <c r="AA56" s="179"/>
      <c r="AB56" s="179"/>
      <c r="AC56" s="179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</row>
    <row r="57" spans="1:77" x14ac:dyDescent="0.2">
      <c r="A57" s="197" t="s">
        <v>36</v>
      </c>
      <c r="B57" s="198"/>
      <c r="C57" s="187"/>
      <c r="D57" s="200"/>
      <c r="E57" s="200"/>
      <c r="F57" s="200"/>
      <c r="G57" s="200"/>
      <c r="H57" s="200"/>
      <c r="I57" s="200"/>
      <c r="J57" s="199"/>
      <c r="K57" s="199"/>
      <c r="L57" s="199"/>
      <c r="M57" s="199"/>
      <c r="N57" s="199"/>
      <c r="O57" s="199"/>
      <c r="P57" s="199"/>
      <c r="Q57" s="201"/>
      <c r="R57" s="202"/>
      <c r="S57" s="202"/>
      <c r="T57" s="179"/>
      <c r="U57" s="179"/>
      <c r="V57" s="179"/>
      <c r="W57" s="179"/>
      <c r="X57" s="179"/>
      <c r="Y57" s="179"/>
      <c r="Z57" s="178"/>
      <c r="AA57" s="179"/>
      <c r="AB57" s="179"/>
      <c r="AC57" s="179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</row>
    <row r="58" spans="1:77" x14ac:dyDescent="0.2">
      <c r="A58" s="263" t="s">
        <v>131</v>
      </c>
      <c r="B58" s="264"/>
      <c r="C58" s="264"/>
      <c r="D58" s="409">
        <f>'PS INPUTS'!C75</f>
        <v>0</v>
      </c>
      <c r="E58" s="409">
        <f>'PS INPUTS'!D75</f>
        <v>643991.0334491838</v>
      </c>
      <c r="F58" s="409">
        <f>'PS INPUTS'!E75</f>
        <v>385958.37</v>
      </c>
      <c r="G58" s="409">
        <f>'PS INPUTS'!F75</f>
        <v>781922.71</v>
      </c>
      <c r="H58" s="409">
        <f>'PS INPUTS'!G75</f>
        <v>1490575.12</v>
      </c>
      <c r="I58" s="409">
        <f>'PS INPUTS'!H75</f>
        <v>2268792.65</v>
      </c>
      <c r="J58" s="409">
        <f>'PS INPUTS'!I75</f>
        <v>1625488.32</v>
      </c>
      <c r="K58" s="409">
        <f>'$ Transfer from State'!D11</f>
        <v>1485059</v>
      </c>
      <c r="L58" s="409">
        <f>'$ Transfer from State'!E11</f>
        <v>600357.08513179922</v>
      </c>
      <c r="M58" s="409">
        <f>'$ Transfer from State'!F11</f>
        <v>455698.5328082901</v>
      </c>
      <c r="N58" s="409">
        <f>'$ Transfer from State'!G11</f>
        <v>387002.88406635483</v>
      </c>
      <c r="O58" s="409">
        <f>'$ Transfer from State'!H11</f>
        <v>371393.86012633139</v>
      </c>
      <c r="P58" s="265">
        <f>SUM(D58:O58)</f>
        <v>10496239.565581961</v>
      </c>
      <c r="Q58" s="201"/>
      <c r="R58" s="201"/>
      <c r="S58" s="201"/>
      <c r="T58" s="179"/>
      <c r="U58" s="179"/>
      <c r="V58" s="179"/>
      <c r="W58" s="179"/>
      <c r="X58" s="179"/>
      <c r="Y58" s="179"/>
      <c r="Z58" s="178"/>
      <c r="AA58" s="179"/>
      <c r="AB58" s="179"/>
      <c r="AC58" s="179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</row>
    <row r="59" spans="1:77" x14ac:dyDescent="0.2">
      <c r="A59" s="263"/>
      <c r="B59" s="264"/>
      <c r="C59" s="264"/>
      <c r="D59" s="266"/>
      <c r="E59" s="266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267"/>
      <c r="Q59" s="201"/>
      <c r="R59" s="201"/>
      <c r="S59" s="201"/>
      <c r="T59" s="179"/>
      <c r="U59" s="179"/>
      <c r="V59" s="179"/>
      <c r="W59" s="179"/>
      <c r="X59" s="179"/>
      <c r="Y59" s="179"/>
      <c r="Z59" s="178"/>
      <c r="AA59" s="179"/>
      <c r="AB59" s="179"/>
      <c r="AC59" s="179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</row>
    <row r="60" spans="1:77" x14ac:dyDescent="0.2">
      <c r="A60" s="263" t="s">
        <v>26</v>
      </c>
      <c r="B60" s="264"/>
      <c r="C60" s="264"/>
      <c r="D60" s="411">
        <f>'PS INPUTS'!C76</f>
        <v>1010646.24</v>
      </c>
      <c r="E60" s="411">
        <f>'PS INPUTS'!D76</f>
        <v>1068130.6500000004</v>
      </c>
      <c r="F60" s="411">
        <f>'PS INPUTS'!E76</f>
        <v>1039747.7500000002</v>
      </c>
      <c r="G60" s="411">
        <f>'PS INPUTS'!F76</f>
        <v>1133958.5199999998</v>
      </c>
      <c r="H60" s="411">
        <f>'PS INPUTS'!G76</f>
        <v>990371.82000000007</v>
      </c>
      <c r="I60" s="411">
        <f>'PS INPUTS'!H76</f>
        <v>1073867.6300000001</v>
      </c>
      <c r="J60" s="412">
        <f>'PS INPUTS'!I76</f>
        <v>1096925.1300000001</v>
      </c>
      <c r="K60" s="411">
        <f>'PS INPUTS'!J76</f>
        <v>1096925.1300000001</v>
      </c>
      <c r="L60" s="411">
        <f>'PS INPUTS'!K76</f>
        <v>1096925.1300000001</v>
      </c>
      <c r="M60" s="411">
        <f>'PS INPUTS'!L76</f>
        <v>1096925.1300000001</v>
      </c>
      <c r="N60" s="411">
        <f>'PS INPUTS'!M76</f>
        <v>1096925.1300000001</v>
      </c>
      <c r="O60" s="411">
        <f>'PS INPUTS'!N76</f>
        <v>1096925.1300000001</v>
      </c>
      <c r="P60" s="267">
        <f>SUM(D60:O60)</f>
        <v>12898273.390000004</v>
      </c>
      <c r="Q60" s="201"/>
      <c r="R60" s="201"/>
      <c r="S60" s="201"/>
      <c r="T60" s="179"/>
      <c r="U60" s="179"/>
      <c r="V60" s="179"/>
      <c r="W60" s="179"/>
      <c r="X60" s="179"/>
      <c r="Y60" s="179"/>
      <c r="Z60" s="178"/>
      <c r="AA60" s="179"/>
      <c r="AB60" s="179"/>
      <c r="AC60" s="179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</row>
    <row r="61" spans="1:77" x14ac:dyDescent="0.2">
      <c r="A61" s="263" t="s">
        <v>55</v>
      </c>
      <c r="B61" s="264"/>
      <c r="C61" s="264"/>
      <c r="D61" s="411">
        <f>'PS INPUTS'!C77</f>
        <v>91612.857600000003</v>
      </c>
      <c r="E61" s="411">
        <f>'PS INPUTS'!D77</f>
        <v>102771.28439999999</v>
      </c>
      <c r="F61" s="411">
        <f>'PS INPUTS'!E77</f>
        <v>96474.837599999999</v>
      </c>
      <c r="G61" s="411">
        <f>'PS INPUTS'!F77</f>
        <v>99615.812399999995</v>
      </c>
      <c r="H61" s="411">
        <f>'PS INPUTS'!G77</f>
        <v>97463.7</v>
      </c>
      <c r="I61" s="411">
        <f>'PS INPUTS'!H77</f>
        <v>100058.53319999999</v>
      </c>
      <c r="J61" s="411">
        <f>'PS INPUTS'!I77</f>
        <v>96346.421999999991</v>
      </c>
      <c r="K61" s="411">
        <f>'PS INPUTS'!J77</f>
        <v>96346.421999999991</v>
      </c>
      <c r="L61" s="411">
        <f>'PS INPUTS'!K77</f>
        <v>96346.421999999991</v>
      </c>
      <c r="M61" s="411">
        <f>'PS INPUTS'!L77</f>
        <v>96346.421999999991</v>
      </c>
      <c r="N61" s="411">
        <f>'PS INPUTS'!M77</f>
        <v>96346.421999999991</v>
      </c>
      <c r="O61" s="411">
        <f>'PS INPUTS'!N77</f>
        <v>96346.421999999991</v>
      </c>
      <c r="P61" s="267">
        <f>SUM(D61:O61)</f>
        <v>1166075.5571999999</v>
      </c>
      <c r="Q61" s="201"/>
      <c r="R61" s="201"/>
      <c r="S61" s="201"/>
      <c r="T61" s="179"/>
      <c r="U61" s="179"/>
      <c r="V61" s="179"/>
      <c r="W61" s="179"/>
      <c r="X61" s="179"/>
      <c r="Y61" s="179"/>
      <c r="Z61" s="178"/>
      <c r="AA61" s="179"/>
      <c r="AB61" s="179"/>
      <c r="AC61" s="179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</row>
    <row r="62" spans="1:77" x14ac:dyDescent="0.2">
      <c r="A62" s="268" t="s">
        <v>138</v>
      </c>
      <c r="B62" s="264"/>
      <c r="C62" s="264"/>
      <c r="D62" s="267">
        <f>'Summary Admin'!C17</f>
        <v>0</v>
      </c>
      <c r="E62" s="267">
        <f>'Summary Admin'!D17</f>
        <v>0</v>
      </c>
      <c r="F62" s="267">
        <f>'Summary Admin'!E17</f>
        <v>0</v>
      </c>
      <c r="G62" s="267">
        <f>'Summary Admin'!F17</f>
        <v>0</v>
      </c>
      <c r="H62" s="267">
        <f>'Summary Admin'!G17</f>
        <v>0</v>
      </c>
      <c r="I62" s="267">
        <f>'Summary Admin'!H17</f>
        <v>0</v>
      </c>
      <c r="J62" s="267">
        <f>'Summary Admin'!I17</f>
        <v>0</v>
      </c>
      <c r="K62" s="267">
        <f>'Summary Admin'!J17</f>
        <v>0</v>
      </c>
      <c r="L62" s="267">
        <f>'Summary Admin'!K17</f>
        <v>0</v>
      </c>
      <c r="M62" s="267">
        <f>'Summary Admin'!L17</f>
        <v>0</v>
      </c>
      <c r="N62" s="267">
        <f>'Summary Admin'!M17</f>
        <v>0</v>
      </c>
      <c r="O62" s="267">
        <f>'Summary Admin'!N17</f>
        <v>0</v>
      </c>
      <c r="P62" s="267">
        <f>SUM(D62:O62)</f>
        <v>0</v>
      </c>
      <c r="Q62" s="201"/>
      <c r="R62" s="201"/>
      <c r="S62" s="201"/>
      <c r="T62" s="234"/>
      <c r="U62" s="234"/>
      <c r="V62" s="235"/>
      <c r="W62" s="179"/>
      <c r="X62" s="179"/>
      <c r="Y62" s="179"/>
      <c r="Z62" s="178"/>
      <c r="AA62" s="179"/>
      <c r="AB62" s="179"/>
      <c r="AC62" s="179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</row>
    <row r="63" spans="1:77" x14ac:dyDescent="0.2">
      <c r="A63" s="263" t="s">
        <v>29</v>
      </c>
      <c r="B63" s="264"/>
      <c r="C63" s="264"/>
      <c r="D63" s="269">
        <f t="shared" ref="D63:O63" si="18">SUM(D60:D62)</f>
        <v>1102259.0976</v>
      </c>
      <c r="E63" s="269">
        <f t="shared" si="18"/>
        <v>1170901.9344000004</v>
      </c>
      <c r="F63" s="269">
        <f t="shared" si="18"/>
        <v>1136222.5876000002</v>
      </c>
      <c r="G63" s="269">
        <f t="shared" si="18"/>
        <v>1233574.3323999997</v>
      </c>
      <c r="H63" s="269">
        <f t="shared" si="18"/>
        <v>1087835.52</v>
      </c>
      <c r="I63" s="269">
        <f t="shared" si="18"/>
        <v>1173926.1632000001</v>
      </c>
      <c r="J63" s="269">
        <f t="shared" si="18"/>
        <v>1193271.5520000001</v>
      </c>
      <c r="K63" s="269">
        <f t="shared" si="18"/>
        <v>1193271.5520000001</v>
      </c>
      <c r="L63" s="269">
        <f t="shared" si="18"/>
        <v>1193271.5520000001</v>
      </c>
      <c r="M63" s="269">
        <f t="shared" si="18"/>
        <v>1193271.5520000001</v>
      </c>
      <c r="N63" s="269">
        <f t="shared" si="18"/>
        <v>1193271.5520000001</v>
      </c>
      <c r="O63" s="269">
        <f t="shared" si="18"/>
        <v>1193271.5520000001</v>
      </c>
      <c r="P63" s="265">
        <f>SUM(D63:O63)</f>
        <v>14064348.947200004</v>
      </c>
      <c r="Q63" s="201"/>
      <c r="R63" s="201"/>
      <c r="S63" s="201"/>
      <c r="T63" s="179"/>
      <c r="U63" s="179"/>
      <c r="V63" s="179"/>
      <c r="W63" s="179"/>
      <c r="X63" s="179"/>
      <c r="Y63" s="179"/>
      <c r="Z63" s="178"/>
      <c r="AA63" s="179"/>
      <c r="AB63" s="179"/>
      <c r="AC63" s="179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</row>
    <row r="64" spans="1:77" x14ac:dyDescent="0.2">
      <c r="A64" s="263"/>
      <c r="B64" s="264"/>
      <c r="C64" s="264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7"/>
      <c r="Q64" s="201"/>
      <c r="R64" s="201"/>
      <c r="S64" s="201"/>
      <c r="T64" s="179"/>
      <c r="U64" s="179"/>
      <c r="V64" s="179"/>
      <c r="W64" s="179"/>
      <c r="X64" s="179"/>
      <c r="Y64" s="179"/>
      <c r="Z64" s="178"/>
      <c r="AA64" s="179"/>
      <c r="AB64" s="179"/>
      <c r="AC64" s="179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</row>
    <row r="65" spans="1:140" x14ac:dyDescent="0.2">
      <c r="A65" s="263" t="s">
        <v>54</v>
      </c>
      <c r="B65" s="264"/>
      <c r="C65" s="264"/>
      <c r="D65" s="269">
        <f>+D63-D58</f>
        <v>1102259.0976</v>
      </c>
      <c r="E65" s="269">
        <f>+E63-E58</f>
        <v>526910.90095081658</v>
      </c>
      <c r="F65" s="269">
        <f t="shared" ref="F65:O65" si="19">+F63-F58</f>
        <v>750264.21760000021</v>
      </c>
      <c r="G65" s="269">
        <f t="shared" si="19"/>
        <v>451651.62239999976</v>
      </c>
      <c r="H65" s="269">
        <f t="shared" si="19"/>
        <v>-402739.60000000009</v>
      </c>
      <c r="I65" s="269">
        <f t="shared" si="19"/>
        <v>-1094866.4867999998</v>
      </c>
      <c r="J65" s="269">
        <f t="shared" si="19"/>
        <v>-432216.76799999992</v>
      </c>
      <c r="K65" s="269">
        <f t="shared" si="19"/>
        <v>-291787.44799999986</v>
      </c>
      <c r="L65" s="269">
        <f t="shared" si="19"/>
        <v>592914.46686820092</v>
      </c>
      <c r="M65" s="269">
        <f t="shared" si="19"/>
        <v>737573.01919171005</v>
      </c>
      <c r="N65" s="269">
        <f t="shared" si="19"/>
        <v>806268.66793364531</v>
      </c>
      <c r="O65" s="269">
        <f t="shared" si="19"/>
        <v>821877.69187366869</v>
      </c>
      <c r="P65" s="269">
        <f>+P63-P58</f>
        <v>3568109.3816180434</v>
      </c>
      <c r="Q65" s="201"/>
      <c r="R65" s="201"/>
      <c r="S65" s="201"/>
      <c r="T65" s="179"/>
      <c r="U65" s="179"/>
      <c r="V65" s="179"/>
      <c r="W65" s="179"/>
      <c r="X65" s="179"/>
      <c r="Y65" s="179"/>
      <c r="Z65" s="178"/>
      <c r="AA65" s="179"/>
      <c r="AB65" s="179"/>
      <c r="AC65" s="179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</row>
    <row r="66" spans="1:140" x14ac:dyDescent="0.2">
      <c r="A66" s="263"/>
      <c r="B66" s="264"/>
      <c r="C66" s="264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01"/>
      <c r="R66" s="201"/>
      <c r="S66" s="201"/>
      <c r="T66" s="179"/>
      <c r="U66" s="179"/>
      <c r="V66" s="179"/>
      <c r="W66" s="179"/>
      <c r="X66" s="179"/>
      <c r="Y66" s="179"/>
      <c r="Z66" s="178"/>
      <c r="AA66" s="179"/>
      <c r="AB66" s="179"/>
      <c r="AC66" s="179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</row>
    <row r="67" spans="1:140" x14ac:dyDescent="0.2">
      <c r="A67" s="263" t="s">
        <v>118</v>
      </c>
      <c r="B67" s="264" t="s">
        <v>56</v>
      </c>
      <c r="C67" s="267">
        <f>'PS INPUTS'!C79</f>
        <v>-1646965.3555056527</v>
      </c>
      <c r="D67" s="270">
        <f t="shared" ref="D67:I67" si="20">+C67+D65</f>
        <v>-544706.25790565275</v>
      </c>
      <c r="E67" s="270">
        <f>+D67+E65</f>
        <v>-17795.35695483617</v>
      </c>
      <c r="F67" s="270">
        <f t="shared" si="20"/>
        <v>732468.86064516404</v>
      </c>
      <c r="G67" s="270">
        <f t="shared" si="20"/>
        <v>1184120.4830451638</v>
      </c>
      <c r="H67" s="270">
        <f t="shared" si="20"/>
        <v>781380.8830451637</v>
      </c>
      <c r="I67" s="270">
        <f t="shared" si="20"/>
        <v>-313485.60375483613</v>
      </c>
      <c r="J67" s="270">
        <f t="shared" ref="J67" si="21">+I67+J65</f>
        <v>-745702.37175483606</v>
      </c>
      <c r="K67" s="270">
        <f t="shared" ref="K67" si="22">+J67+K65</f>
        <v>-1037489.8197548359</v>
      </c>
      <c r="L67" s="270">
        <f t="shared" ref="L67" si="23">+K67+L65</f>
        <v>-444575.352886635</v>
      </c>
      <c r="M67" s="270">
        <f t="shared" ref="M67" si="24">+L67+M65</f>
        <v>292997.66630507505</v>
      </c>
      <c r="N67" s="270">
        <f t="shared" ref="N67" si="25">+M67+N65</f>
        <v>1099266.3342387204</v>
      </c>
      <c r="O67" s="270">
        <f>+N67+O65</f>
        <v>1921144.0261123891</v>
      </c>
      <c r="P67" s="270">
        <f>+O67</f>
        <v>1921144.0261123891</v>
      </c>
      <c r="Q67" s="201"/>
      <c r="R67" s="201"/>
      <c r="S67" s="201"/>
      <c r="T67" s="179"/>
      <c r="U67" s="179"/>
      <c r="V67" s="179"/>
      <c r="W67" s="179"/>
      <c r="X67" s="179"/>
      <c r="Y67" s="179"/>
      <c r="Z67" s="178"/>
      <c r="AA67" s="179"/>
      <c r="AB67" s="179"/>
      <c r="AC67" s="179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</row>
    <row r="68" spans="1:140" x14ac:dyDescent="0.2">
      <c r="A68" s="263" t="s">
        <v>27</v>
      </c>
      <c r="B68" s="264" t="s">
        <v>56</v>
      </c>
      <c r="C68" s="267">
        <f>'PS INPUTS'!C80</f>
        <v>15793.899395320333</v>
      </c>
      <c r="D68" s="413">
        <f>(AVERAGE(C67:D67)*(1-'PS INPUTS'!$C$81)*D69/12)</f>
        <v>-1128.9254820856356</v>
      </c>
      <c r="E68" s="413">
        <f>(AVERAGE(D67:E67)*(1-'PS INPUTS'!$C$81)*E69/12)</f>
        <v>-306.37939519577253</v>
      </c>
      <c r="F68" s="413">
        <f>(AVERAGE(E67:F67)*(1-'PS INPUTS'!$C$81)*F69/12)</f>
        <v>419.20663262088868</v>
      </c>
      <c r="G68" s="413">
        <f>(AVERAGE(F67:G67)*(1-'PS INPUTS'!$C$82)*G69/12)</f>
        <v>1446.7278831379253</v>
      </c>
      <c r="H68" s="413">
        <f>(AVERAGE(G67:H67)*(1-'PS INPUTS'!$C$82)*H69/12)</f>
        <v>1624.9487718946868</v>
      </c>
      <c r="I68" s="413">
        <f>(AVERAGE(H67:I67)*(1-'PS INPUTS'!$C$82)*I69/12)</f>
        <v>395.23465163113445</v>
      </c>
      <c r="J68" s="413">
        <f>(AVERAGE(I67:J67)*(1-'PS INPUTS'!$C$82)*J69/12)</f>
        <v>-904.22215476776034</v>
      </c>
      <c r="K68" s="413">
        <f>(AVERAGE(J67:K67)*(1-'PS INPUTS'!$C$82)*K69/12)</f>
        <v>-1522.30002894061</v>
      </c>
      <c r="L68" s="413">
        <f>(AVERAGE(K67:L67)*(1-'PS INPUTS'!$C$82)*L69/12)</f>
        <v>-1265.2297749766947</v>
      </c>
      <c r="M68" s="413">
        <f>(AVERAGE(L67:M67)*(1-'PS INPUTS'!$C$82)*M69/12)</f>
        <v>-129.40092367413661</v>
      </c>
      <c r="N68" s="413">
        <f>(AVERAGE(M67:N67)*(1-'PS INPUTS'!$C$82)*N69/12)</f>
        <v>1188.5670756142349</v>
      </c>
      <c r="O68" s="413">
        <f>(AVERAGE(N67:O67)*(1-'PS INPUTS'!$C$82)*O69/12)</f>
        <v>2578.5054470669897</v>
      </c>
      <c r="P68" s="272">
        <f>SUM(D68:O68)</f>
        <v>2396.7327023252501</v>
      </c>
      <c r="Q68" s="212"/>
      <c r="R68" s="212"/>
      <c r="S68" s="212"/>
      <c r="T68" s="179"/>
      <c r="U68" s="179"/>
      <c r="V68" s="179"/>
      <c r="W68" s="179"/>
      <c r="X68" s="179"/>
      <c r="Y68" s="179"/>
      <c r="Z68" s="178"/>
      <c r="AA68" s="179"/>
      <c r="AB68" s="179"/>
      <c r="AC68" s="179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</row>
    <row r="69" spans="1:140" x14ac:dyDescent="0.2">
      <c r="A69" s="263"/>
      <c r="B69" s="273"/>
      <c r="C69" s="266"/>
      <c r="D69" s="414">
        <f>'PS INPUTS'!C83</f>
        <v>2.0899999999999998E-2</v>
      </c>
      <c r="E69" s="414">
        <f>'PS INPUTS'!D83</f>
        <v>2.2099999999999998E-2</v>
      </c>
      <c r="F69" s="414">
        <f>'PS INPUTS'!E83</f>
        <v>2.3799999999999998E-2</v>
      </c>
      <c r="G69" s="414">
        <f>'PS INPUTS'!F83</f>
        <v>2.52E-2</v>
      </c>
      <c r="H69" s="414">
        <f>'PS INPUTS'!G83</f>
        <v>2.7600000000000003E-2</v>
      </c>
      <c r="I69" s="414">
        <f>'PS INPUTS'!H83</f>
        <v>2.8200000000000003E-2</v>
      </c>
      <c r="J69" s="414">
        <f>'PS INPUTS'!I83</f>
        <v>2.8500000000000001E-2</v>
      </c>
      <c r="K69" s="414">
        <f>'PS INPUTS'!J83</f>
        <v>2.8500000000000001E-2</v>
      </c>
      <c r="L69" s="414">
        <f>'PS INPUTS'!K83</f>
        <v>2.8500000000000001E-2</v>
      </c>
      <c r="M69" s="414">
        <f>'PS INPUTS'!L83</f>
        <v>2.8500000000000001E-2</v>
      </c>
      <c r="N69" s="414">
        <f>'PS INPUTS'!M83</f>
        <v>2.8500000000000001E-2</v>
      </c>
      <c r="O69" s="414">
        <f>'PS INPUTS'!N83</f>
        <v>2.8500000000000001E-2</v>
      </c>
      <c r="P69" s="274"/>
      <c r="Q69" s="201"/>
      <c r="R69" s="201"/>
      <c r="S69" s="201"/>
      <c r="T69" s="179"/>
      <c r="U69" s="179"/>
      <c r="V69" s="179"/>
      <c r="W69" s="179"/>
      <c r="X69" s="179"/>
      <c r="Y69" s="179"/>
      <c r="Z69" s="178"/>
      <c r="AA69" s="179"/>
      <c r="AB69" s="179"/>
      <c r="AC69" s="179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</row>
    <row r="70" spans="1:140" x14ac:dyDescent="0.2">
      <c r="A70" s="263"/>
      <c r="B70" s="273"/>
      <c r="C70" s="266"/>
      <c r="D70" s="270"/>
      <c r="E70" s="270"/>
      <c r="F70" s="270"/>
      <c r="G70" s="270"/>
      <c r="H70" s="270"/>
      <c r="I70" s="270"/>
      <c r="J70" s="270"/>
      <c r="K70" s="272"/>
      <c r="L70" s="272"/>
      <c r="M70" s="272"/>
      <c r="N70" s="272"/>
      <c r="O70" s="272"/>
      <c r="P70" s="270"/>
      <c r="Q70" s="201"/>
      <c r="R70" s="201"/>
      <c r="S70" s="201"/>
      <c r="T70" s="179"/>
      <c r="U70" s="179"/>
      <c r="V70" s="179"/>
      <c r="W70" s="179"/>
      <c r="X70" s="179"/>
      <c r="Y70" s="179"/>
      <c r="Z70" s="178"/>
      <c r="AA70" s="179"/>
      <c r="AB70" s="179"/>
      <c r="AC70" s="179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</row>
    <row r="71" spans="1:140" x14ac:dyDescent="0.2">
      <c r="A71" s="263" t="s">
        <v>117</v>
      </c>
      <c r="B71" s="264"/>
      <c r="C71" s="264"/>
      <c r="D71" s="275">
        <f>+C67+D65+D68+C68</f>
        <v>-530041.28399241809</v>
      </c>
      <c r="E71" s="270">
        <f>(D71+E65+E68)-C68</f>
        <v>-19230.661832117617</v>
      </c>
      <c r="F71" s="270">
        <f t="shared" ref="F71:I71" si="26">E71+F65+F68</f>
        <v>731452.7624005035</v>
      </c>
      <c r="G71" s="270">
        <f t="shared" si="26"/>
        <v>1184551.1126836413</v>
      </c>
      <c r="H71" s="270">
        <f t="shared" si="26"/>
        <v>783436.46145553584</v>
      </c>
      <c r="I71" s="270">
        <f t="shared" si="26"/>
        <v>-311034.79069283284</v>
      </c>
      <c r="J71" s="270">
        <f t="shared" ref="J71" si="27">I71+J65+J68</f>
        <v>-744155.78084760043</v>
      </c>
      <c r="K71" s="270">
        <f t="shared" ref="K71" si="28">J71+K65+K68</f>
        <v>-1037465.5288765409</v>
      </c>
      <c r="L71" s="270">
        <f t="shared" ref="L71" si="29">K71+L65+L68</f>
        <v>-445816.2917833167</v>
      </c>
      <c r="M71" s="270">
        <f t="shared" ref="M71" si="30">L71+M65+M68</f>
        <v>291627.32648471923</v>
      </c>
      <c r="N71" s="270">
        <f t="shared" ref="N71" si="31">M71+N65+N68</f>
        <v>1099084.5614939786</v>
      </c>
      <c r="O71" s="270">
        <f t="shared" ref="O71" si="32">N71+O65+O68</f>
        <v>1923540.7588147144</v>
      </c>
      <c r="P71" s="270">
        <f>+P67+P68</f>
        <v>1923540.7588147144</v>
      </c>
      <c r="Q71" s="201"/>
      <c r="R71" s="201"/>
      <c r="S71" s="201"/>
      <c r="T71" s="179"/>
      <c r="U71" s="179"/>
      <c r="V71" s="179"/>
      <c r="W71" s="179"/>
      <c r="X71" s="179"/>
      <c r="Y71" s="179"/>
      <c r="Z71" s="178"/>
      <c r="AA71" s="179"/>
      <c r="AB71" s="179"/>
      <c r="AC71" s="179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</row>
    <row r="72" spans="1:140" x14ac:dyDescent="0.2">
      <c r="B72" s="187"/>
      <c r="C72" s="187"/>
      <c r="D72" s="199"/>
      <c r="E72" s="199"/>
      <c r="F72" s="182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2"/>
      <c r="S72" s="202"/>
      <c r="T72" s="179"/>
      <c r="U72" s="179"/>
      <c r="V72" s="179"/>
      <c r="W72" s="179"/>
      <c r="X72" s="179"/>
      <c r="Y72" s="179"/>
      <c r="Z72" s="178"/>
      <c r="AA72" s="179"/>
      <c r="AB72" s="179"/>
      <c r="AC72" s="179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</row>
    <row r="73" spans="1:140" x14ac:dyDescent="0.2">
      <c r="A73" s="197" t="s">
        <v>87</v>
      </c>
      <c r="B73" s="198"/>
      <c r="C73" s="187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201"/>
      <c r="R73" s="202"/>
      <c r="S73" s="202"/>
      <c r="T73" s="179"/>
      <c r="U73" s="179"/>
      <c r="V73" s="179"/>
      <c r="W73" s="179"/>
      <c r="X73" s="179"/>
      <c r="Y73" s="179"/>
      <c r="Z73" s="178"/>
      <c r="AA73" s="179"/>
      <c r="AB73" s="179"/>
      <c r="AC73" s="179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</row>
    <row r="74" spans="1:140" x14ac:dyDescent="0.2">
      <c r="A74" s="176" t="s">
        <v>131</v>
      </c>
      <c r="B74" s="187"/>
      <c r="C74" s="181"/>
      <c r="D74" s="401">
        <v>0</v>
      </c>
      <c r="E74" s="401">
        <v>58735.29</v>
      </c>
      <c r="F74" s="401">
        <v>36370.46</v>
      </c>
      <c r="G74" s="401">
        <v>63890.51</v>
      </c>
      <c r="H74" s="401">
        <v>127858.26</v>
      </c>
      <c r="I74" s="401">
        <v>188156.86</v>
      </c>
      <c r="J74" s="401">
        <v>151983.96</v>
      </c>
      <c r="K74" s="203">
        <f>'$ Transfer from State'!D12</f>
        <v>133231.35999999999</v>
      </c>
      <c r="L74" s="203">
        <f>'$ Transfer from State'!E12</f>
        <v>54323.257325028142</v>
      </c>
      <c r="M74" s="203">
        <f>'$ Transfer from State'!F12</f>
        <v>41233.84111465585</v>
      </c>
      <c r="N74" s="203">
        <f>'$ Transfer from State'!G12</f>
        <v>35017.921462606362</v>
      </c>
      <c r="O74" s="203">
        <f>'$ Transfer from State'!H12</f>
        <v>33605.540322971334</v>
      </c>
      <c r="P74" s="236">
        <f>SUM(D74:O74)</f>
        <v>924407.26022526168</v>
      </c>
      <c r="Q74" s="183"/>
      <c r="R74" s="183"/>
      <c r="S74" s="183"/>
      <c r="T74" s="179"/>
      <c r="U74" s="179"/>
      <c r="V74" s="179"/>
      <c r="W74" s="179"/>
      <c r="X74" s="179"/>
      <c r="Y74" s="179"/>
      <c r="Z74" s="178"/>
      <c r="AA74" s="179"/>
      <c r="AB74" s="179"/>
      <c r="AC74" s="179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</row>
    <row r="75" spans="1:140" x14ac:dyDescent="0.2">
      <c r="B75" s="187"/>
      <c r="C75" s="181"/>
      <c r="D75" s="396"/>
      <c r="E75" s="396"/>
      <c r="F75" s="396"/>
      <c r="G75" s="396"/>
      <c r="H75" s="396"/>
      <c r="I75" s="396"/>
      <c r="J75" s="396"/>
      <c r="K75" s="224"/>
      <c r="L75" s="224"/>
      <c r="M75" s="224"/>
      <c r="N75" s="224"/>
      <c r="O75" s="224"/>
      <c r="P75" s="182"/>
      <c r="Q75" s="183"/>
      <c r="R75" s="183"/>
      <c r="S75" s="183"/>
      <c r="T75" s="179"/>
      <c r="U75" s="179"/>
      <c r="V75" s="179"/>
      <c r="W75" s="179"/>
      <c r="X75" s="179"/>
      <c r="Y75" s="179"/>
      <c r="Z75" s="178"/>
      <c r="AA75" s="179"/>
      <c r="AB75" s="179"/>
      <c r="AC75" s="179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</row>
    <row r="76" spans="1:140" x14ac:dyDescent="0.2">
      <c r="A76" s="176" t="s">
        <v>26</v>
      </c>
      <c r="B76" s="187"/>
      <c r="C76" s="181"/>
      <c r="D76" s="396">
        <v>105832.53</v>
      </c>
      <c r="E76" s="396">
        <v>91148.23000000001</v>
      </c>
      <c r="F76" s="396">
        <v>90811.08</v>
      </c>
      <c r="G76" s="396">
        <v>97647.1</v>
      </c>
      <c r="H76" s="396">
        <v>98079.92</v>
      </c>
      <c r="I76" s="396">
        <v>101438.03</v>
      </c>
      <c r="J76" s="396">
        <v>104454.09999999999</v>
      </c>
      <c r="K76" s="396">
        <v>104454.09999999999</v>
      </c>
      <c r="L76" s="396">
        <v>104454.09999999999</v>
      </c>
      <c r="M76" s="396">
        <v>104454.09999999999</v>
      </c>
      <c r="N76" s="396">
        <v>104454.09999999999</v>
      </c>
      <c r="O76" s="396">
        <v>104454.09999999999</v>
      </c>
      <c r="P76" s="199">
        <f>SUM(D76:O76)</f>
        <v>1211681.49</v>
      </c>
      <c r="Q76" s="183"/>
      <c r="R76" s="183"/>
      <c r="S76" s="183"/>
      <c r="T76" s="179"/>
      <c r="U76" s="179"/>
      <c r="V76" s="179"/>
      <c r="W76" s="179"/>
      <c r="X76" s="179"/>
      <c r="Y76" s="179"/>
      <c r="Z76" s="178"/>
      <c r="AA76" s="179"/>
      <c r="AB76" s="179"/>
      <c r="AC76" s="179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</row>
    <row r="77" spans="1:140" x14ac:dyDescent="0.2">
      <c r="A77" s="176" t="s">
        <v>55</v>
      </c>
      <c r="B77" s="187"/>
      <c r="C77" s="181"/>
      <c r="D77" s="396">
        <v>4752.53</v>
      </c>
      <c r="E77" s="396">
        <v>4525.57</v>
      </c>
      <c r="F77" s="396">
        <v>6687.42</v>
      </c>
      <c r="G77" s="396">
        <v>4383.42</v>
      </c>
      <c r="H77" s="396">
        <v>3633.24</v>
      </c>
      <c r="I77" s="396">
        <v>3880.2100000000014</v>
      </c>
      <c r="J77" s="396">
        <v>3518.97</v>
      </c>
      <c r="K77" s="396">
        <v>3518.97</v>
      </c>
      <c r="L77" s="396">
        <v>3518.97</v>
      </c>
      <c r="M77" s="396">
        <v>3518.97</v>
      </c>
      <c r="N77" s="396">
        <v>3518.97</v>
      </c>
      <c r="O77" s="396">
        <v>3518.97</v>
      </c>
      <c r="P77" s="199">
        <f>SUM(D77:O77)</f>
        <v>48976.210000000006</v>
      </c>
      <c r="Q77" s="183"/>
      <c r="R77" s="183"/>
      <c r="S77" s="183"/>
      <c r="T77" s="179"/>
      <c r="U77" s="179"/>
      <c r="V77" s="179"/>
      <c r="W77" s="179"/>
      <c r="X77" s="179"/>
      <c r="Y77" s="179"/>
      <c r="Z77" s="178"/>
      <c r="AA77" s="179"/>
      <c r="AB77" s="179"/>
      <c r="AC77" s="179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8"/>
      <c r="BN77" s="178"/>
      <c r="BO77" s="178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</row>
    <row r="78" spans="1:140" x14ac:dyDescent="0.2">
      <c r="A78" s="185" t="s">
        <v>138</v>
      </c>
      <c r="B78" s="187"/>
      <c r="C78" s="181"/>
      <c r="D78" s="396">
        <v>0</v>
      </c>
      <c r="E78" s="396">
        <v>0</v>
      </c>
      <c r="F78" s="396">
        <v>0</v>
      </c>
      <c r="G78" s="396">
        <v>0</v>
      </c>
      <c r="H78" s="396">
        <v>0</v>
      </c>
      <c r="I78" s="396">
        <v>0</v>
      </c>
      <c r="J78" s="396">
        <v>0</v>
      </c>
      <c r="K78" s="396">
        <v>0</v>
      </c>
      <c r="L78" s="396">
        <v>0</v>
      </c>
      <c r="M78" s="396">
        <v>0</v>
      </c>
      <c r="N78" s="396">
        <v>0</v>
      </c>
      <c r="O78" s="396">
        <v>0</v>
      </c>
      <c r="P78" s="182">
        <f>SUM(D78:O78)</f>
        <v>0</v>
      </c>
      <c r="Q78" s="183"/>
      <c r="R78" s="183"/>
      <c r="S78" s="183"/>
      <c r="T78" s="179"/>
      <c r="U78" s="179"/>
      <c r="V78" s="179"/>
      <c r="W78" s="179"/>
      <c r="X78" s="179"/>
      <c r="Y78" s="179"/>
      <c r="Z78" s="178"/>
      <c r="AA78" s="179"/>
      <c r="AB78" s="179"/>
      <c r="AC78" s="179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8"/>
      <c r="BM78" s="178"/>
      <c r="BN78" s="178"/>
      <c r="BO78" s="178"/>
      <c r="BP78" s="178"/>
      <c r="BQ78" s="178"/>
      <c r="BR78" s="178"/>
      <c r="BS78" s="178"/>
      <c r="BT78" s="178"/>
      <c r="BU78" s="178"/>
      <c r="BV78" s="178"/>
      <c r="BW78" s="178"/>
      <c r="BX78" s="178"/>
      <c r="BY78" s="178"/>
    </row>
    <row r="79" spans="1:140" x14ac:dyDescent="0.2">
      <c r="A79" s="176" t="s">
        <v>29</v>
      </c>
      <c r="B79" s="187"/>
      <c r="C79" s="181"/>
      <c r="D79" s="237">
        <f t="shared" ref="D79:O79" si="33">SUM(D76:D78)</f>
        <v>110585.06</v>
      </c>
      <c r="E79" s="237">
        <f t="shared" si="33"/>
        <v>95673.800000000017</v>
      </c>
      <c r="F79" s="237">
        <f t="shared" si="33"/>
        <v>97498.5</v>
      </c>
      <c r="G79" s="237">
        <f t="shared" si="33"/>
        <v>102030.52</v>
      </c>
      <c r="H79" s="237">
        <f t="shared" si="33"/>
        <v>101713.16</v>
      </c>
      <c r="I79" s="237">
        <f t="shared" si="33"/>
        <v>105318.24</v>
      </c>
      <c r="J79" s="237">
        <f t="shared" si="33"/>
        <v>107973.06999999999</v>
      </c>
      <c r="K79" s="237">
        <f t="shared" si="33"/>
        <v>107973.06999999999</v>
      </c>
      <c r="L79" s="237">
        <f t="shared" si="33"/>
        <v>107973.06999999999</v>
      </c>
      <c r="M79" s="237">
        <f t="shared" si="33"/>
        <v>107973.06999999999</v>
      </c>
      <c r="N79" s="237">
        <f t="shared" si="33"/>
        <v>107973.06999999999</v>
      </c>
      <c r="O79" s="237">
        <f t="shared" si="33"/>
        <v>107973.06999999999</v>
      </c>
      <c r="P79" s="236">
        <f>SUM(D79:O79)</f>
        <v>1260657.7</v>
      </c>
      <c r="Q79" s="183"/>
      <c r="R79" s="183"/>
      <c r="S79" s="183"/>
      <c r="T79" s="179"/>
      <c r="U79" s="179"/>
      <c r="V79" s="179"/>
      <c r="W79" s="179"/>
      <c r="X79" s="179"/>
      <c r="Y79" s="179"/>
      <c r="Z79" s="178"/>
      <c r="AA79" s="179"/>
      <c r="AB79" s="179"/>
      <c r="AC79" s="179"/>
      <c r="AD79" s="238"/>
      <c r="AE79" s="238"/>
      <c r="AF79" s="238"/>
      <c r="AG79" s="238"/>
      <c r="AH79" s="238"/>
      <c r="AI79" s="238"/>
      <c r="AJ79" s="238"/>
      <c r="AK79" s="238"/>
      <c r="AL79" s="238"/>
      <c r="AM79" s="238"/>
      <c r="AN79" s="238"/>
      <c r="AO79" s="238"/>
      <c r="AP79" s="238"/>
      <c r="AQ79" s="238"/>
      <c r="AR79" s="238"/>
      <c r="AS79" s="238"/>
      <c r="AT79" s="238"/>
      <c r="AU79" s="238"/>
      <c r="AV79" s="238"/>
      <c r="AW79" s="238"/>
      <c r="AX79" s="238"/>
      <c r="AY79" s="238"/>
      <c r="AZ79" s="238"/>
      <c r="BA79" s="238"/>
      <c r="BB79" s="238"/>
      <c r="BC79" s="238"/>
      <c r="BD79" s="238"/>
      <c r="BE79" s="238"/>
      <c r="BF79" s="238"/>
      <c r="BG79" s="238"/>
      <c r="BH79" s="238"/>
      <c r="BI79" s="238"/>
      <c r="BJ79" s="238"/>
      <c r="BK79" s="238"/>
      <c r="BL79" s="238"/>
      <c r="BM79" s="238"/>
      <c r="BN79" s="238"/>
      <c r="BO79" s="238"/>
      <c r="BP79" s="238"/>
      <c r="BQ79" s="238"/>
      <c r="BR79" s="238"/>
      <c r="BS79" s="238"/>
      <c r="BT79" s="238"/>
      <c r="BU79" s="238"/>
      <c r="BV79" s="238"/>
      <c r="BW79" s="238"/>
      <c r="BX79" s="238"/>
      <c r="BY79" s="238"/>
      <c r="BZ79" s="185"/>
      <c r="CA79" s="185"/>
      <c r="CB79" s="185"/>
      <c r="CC79" s="185"/>
      <c r="CD79" s="185"/>
      <c r="CE79" s="185"/>
      <c r="CF79" s="185"/>
      <c r="CG79" s="185"/>
      <c r="CH79" s="185"/>
      <c r="CI79" s="185"/>
      <c r="CJ79" s="185"/>
      <c r="CK79" s="185"/>
      <c r="CL79" s="185"/>
      <c r="CM79" s="185"/>
      <c r="CN79" s="185"/>
      <c r="CO79" s="185"/>
      <c r="CP79" s="185"/>
      <c r="CQ79" s="185"/>
      <c r="CR79" s="185"/>
      <c r="CS79" s="185"/>
      <c r="CT79" s="185"/>
      <c r="CU79" s="185"/>
      <c r="CV79" s="185"/>
      <c r="CW79" s="185"/>
      <c r="CX79" s="185"/>
      <c r="CY79" s="185"/>
      <c r="CZ79" s="185"/>
      <c r="DA79" s="185"/>
      <c r="DB79" s="185"/>
      <c r="DC79" s="185"/>
      <c r="DD79" s="185"/>
      <c r="DE79" s="185"/>
      <c r="DF79" s="185"/>
      <c r="DG79" s="185"/>
      <c r="DH79" s="185"/>
      <c r="DI79" s="185"/>
      <c r="DJ79" s="185"/>
      <c r="DK79" s="185"/>
      <c r="DL79" s="185"/>
      <c r="DM79" s="185"/>
      <c r="DN79" s="185"/>
      <c r="DO79" s="185"/>
      <c r="DP79" s="185"/>
      <c r="DQ79" s="185"/>
      <c r="DR79" s="185"/>
      <c r="DS79" s="185"/>
      <c r="DT79" s="185"/>
      <c r="DU79" s="185"/>
      <c r="DV79" s="185"/>
      <c r="DW79" s="185"/>
      <c r="DX79" s="185"/>
      <c r="DY79" s="185"/>
      <c r="DZ79" s="185"/>
      <c r="EA79" s="185"/>
      <c r="EB79" s="185"/>
      <c r="EC79" s="185"/>
      <c r="ED79" s="185"/>
      <c r="EE79" s="185"/>
      <c r="EF79" s="185"/>
      <c r="EG79" s="185"/>
      <c r="EH79" s="185"/>
      <c r="EI79" s="185"/>
      <c r="EJ79" s="185"/>
    </row>
    <row r="80" spans="1:140" x14ac:dyDescent="0.2">
      <c r="B80" s="187"/>
      <c r="C80" s="181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2"/>
      <c r="Q80" s="183"/>
      <c r="R80" s="183"/>
      <c r="S80" s="183"/>
      <c r="T80" s="179"/>
      <c r="U80" s="179"/>
      <c r="V80" s="179"/>
      <c r="W80" s="179"/>
      <c r="X80" s="179"/>
      <c r="Y80" s="179"/>
      <c r="Z80" s="178"/>
      <c r="AA80" s="179"/>
      <c r="AB80" s="179"/>
      <c r="AC80" s="179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8"/>
      <c r="BN80" s="178"/>
      <c r="BO80" s="178"/>
      <c r="BP80" s="178"/>
      <c r="BQ80" s="178"/>
      <c r="BR80" s="178"/>
      <c r="BS80" s="178"/>
      <c r="BT80" s="178"/>
      <c r="BU80" s="178"/>
      <c r="BV80" s="178"/>
      <c r="BW80" s="178"/>
      <c r="BX80" s="178"/>
      <c r="BY80" s="178"/>
    </row>
    <row r="81" spans="1:77" x14ac:dyDescent="0.2">
      <c r="A81" s="176" t="s">
        <v>54</v>
      </c>
      <c r="B81" s="187"/>
      <c r="C81" s="181"/>
      <c r="D81" s="186">
        <f t="shared" ref="D81:I81" si="34">+D79-D74</f>
        <v>110585.06</v>
      </c>
      <c r="E81" s="186">
        <f t="shared" si="34"/>
        <v>36938.510000000017</v>
      </c>
      <c r="F81" s="186">
        <f t="shared" si="34"/>
        <v>61128.04</v>
      </c>
      <c r="G81" s="186">
        <f t="shared" si="34"/>
        <v>38140.01</v>
      </c>
      <c r="H81" s="186">
        <f t="shared" si="34"/>
        <v>-26145.099999999991</v>
      </c>
      <c r="I81" s="186">
        <f t="shared" si="34"/>
        <v>-82838.619999999981</v>
      </c>
      <c r="J81" s="186">
        <f t="shared" ref="J81:O81" si="35">+J79-J74</f>
        <v>-44010.89</v>
      </c>
      <c r="K81" s="186">
        <f t="shared" si="35"/>
        <v>-25258.289999999994</v>
      </c>
      <c r="L81" s="186">
        <f t="shared" si="35"/>
        <v>53649.81267497185</v>
      </c>
      <c r="M81" s="186">
        <f t="shared" si="35"/>
        <v>66739.228885344142</v>
      </c>
      <c r="N81" s="186">
        <f t="shared" si="35"/>
        <v>72955.14853739363</v>
      </c>
      <c r="O81" s="186">
        <f t="shared" si="35"/>
        <v>74367.529677028651</v>
      </c>
      <c r="P81" s="186">
        <f>+P79-P74</f>
        <v>336250.43977473828</v>
      </c>
      <c r="Q81" s="183"/>
      <c r="R81" s="183"/>
      <c r="S81" s="183"/>
      <c r="T81" s="179"/>
      <c r="U81" s="179"/>
      <c r="V81" s="179"/>
      <c r="W81" s="179"/>
      <c r="X81" s="179"/>
      <c r="Y81" s="179"/>
      <c r="Z81" s="178"/>
      <c r="AA81" s="179"/>
      <c r="AB81" s="179"/>
      <c r="AC81" s="179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8"/>
      <c r="BN81" s="178"/>
      <c r="BO81" s="178"/>
      <c r="BP81" s="178"/>
      <c r="BQ81" s="178"/>
      <c r="BR81" s="178"/>
      <c r="BS81" s="178"/>
      <c r="BT81" s="178"/>
      <c r="BU81" s="178"/>
      <c r="BV81" s="178"/>
      <c r="BW81" s="178"/>
      <c r="BX81" s="178"/>
      <c r="BY81" s="178"/>
    </row>
    <row r="82" spans="1:77" x14ac:dyDescent="0.2">
      <c r="B82" s="187"/>
      <c r="C82" s="181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79"/>
      <c r="U82" s="179"/>
      <c r="V82" s="179"/>
      <c r="W82" s="179"/>
      <c r="X82" s="179"/>
      <c r="Y82" s="179"/>
      <c r="Z82" s="178"/>
      <c r="AA82" s="179"/>
      <c r="AB82" s="179"/>
      <c r="AC82" s="179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L82" s="178"/>
      <c r="BM82" s="178"/>
      <c r="BN82" s="178"/>
      <c r="BO82" s="178"/>
      <c r="BP82" s="178"/>
      <c r="BQ82" s="178"/>
      <c r="BR82" s="178"/>
      <c r="BS82" s="178"/>
      <c r="BT82" s="178"/>
      <c r="BU82" s="178"/>
      <c r="BV82" s="178"/>
      <c r="BW82" s="178"/>
      <c r="BX82" s="178"/>
      <c r="BY82" s="178"/>
    </row>
    <row r="83" spans="1:77" x14ac:dyDescent="0.2">
      <c r="A83" s="176" t="s">
        <v>118</v>
      </c>
      <c r="B83" s="187" t="s">
        <v>56</v>
      </c>
      <c r="C83" s="396">
        <v>-1099062.87308913</v>
      </c>
      <c r="D83" s="183">
        <f>C85+D81</f>
        <v>-996811.4260689253</v>
      </c>
      <c r="E83" s="183">
        <f>+D83+E81</f>
        <v>-959872.91606892529</v>
      </c>
      <c r="F83" s="183">
        <f>+E83+F81</f>
        <v>-898744.87606892525</v>
      </c>
      <c r="G83" s="183">
        <f>+F83+G81</f>
        <v>-860604.86606892524</v>
      </c>
      <c r="H83" s="183">
        <f>+G83+H81</f>
        <v>-886749.96606892522</v>
      </c>
      <c r="I83" s="183">
        <f>+H83+I81</f>
        <v>-969588.58606892521</v>
      </c>
      <c r="J83" s="183">
        <f t="shared" ref="J83:O83" si="36">+I83+J81</f>
        <v>-1013599.4760689252</v>
      </c>
      <c r="K83" s="183">
        <f t="shared" si="36"/>
        <v>-1038857.7660689253</v>
      </c>
      <c r="L83" s="183">
        <f t="shared" si="36"/>
        <v>-985207.95339395339</v>
      </c>
      <c r="M83" s="183">
        <f t="shared" si="36"/>
        <v>-918468.72450860927</v>
      </c>
      <c r="N83" s="183">
        <f t="shared" si="36"/>
        <v>-845513.57597121561</v>
      </c>
      <c r="O83" s="183">
        <f t="shared" si="36"/>
        <v>-771146.04629418696</v>
      </c>
      <c r="P83" s="183">
        <f>+O83</f>
        <v>-771146.04629418696</v>
      </c>
      <c r="Q83" s="183"/>
      <c r="R83" s="183"/>
      <c r="S83" s="183"/>
      <c r="T83" s="179"/>
      <c r="U83" s="179"/>
      <c r="V83" s="179"/>
      <c r="W83" s="179"/>
      <c r="X83" s="179"/>
      <c r="Y83" s="179"/>
      <c r="Z83" s="178"/>
      <c r="AA83" s="179"/>
      <c r="AB83" s="179"/>
      <c r="AC83" s="179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78"/>
      <c r="BN83" s="178"/>
      <c r="BO83" s="178"/>
      <c r="BP83" s="178"/>
      <c r="BQ83" s="178"/>
      <c r="BR83" s="178"/>
      <c r="BS83" s="178"/>
      <c r="BT83" s="178"/>
      <c r="BU83" s="178"/>
      <c r="BV83" s="178"/>
      <c r="BW83" s="178"/>
      <c r="BX83" s="178"/>
      <c r="BY83" s="178"/>
    </row>
    <row r="84" spans="1:77" x14ac:dyDescent="0.2">
      <c r="A84" s="176" t="s">
        <v>27</v>
      </c>
      <c r="B84" s="187" t="s">
        <v>56</v>
      </c>
      <c r="C84" s="396">
        <v>-8333.6129797954254</v>
      </c>
      <c r="D84" s="413">
        <f>(AVERAGE(C83:D83)*(1-'PS INPUTS'!$C$81)*D85/12)</f>
        <v>-1079.5804850915245</v>
      </c>
      <c r="E84" s="413">
        <f>(AVERAGE(D83:E83)*(1-'PS INPUTS'!$C$81)*E85/12)</f>
        <v>-1065.7529676282211</v>
      </c>
      <c r="F84" s="413">
        <f>(AVERAGE(E83:F83)*(1-'PS INPUTS'!$C$81)*F85/12)</f>
        <v>-1090.2109871824589</v>
      </c>
      <c r="G84" s="413">
        <f>(AVERAGE(F83:G83)*(1-'PS INPUTS'!$C$82)*G85/12)</f>
        <v>-1328.0363561040458</v>
      </c>
      <c r="H84" s="413">
        <f>(AVERAGE(G83:H83)*(1-'PS INPUTS'!$C$82)*H85/12)</f>
        <v>-1444.5993971474861</v>
      </c>
      <c r="I84" s="413">
        <f>(AVERAGE(H83:I83)*(1-'PS INPUTS'!$C$82)*I85/12)</f>
        <v>-1568.0630975299835</v>
      </c>
      <c r="J84" s="413">
        <f>(AVERAGE(I83:J83)*(1-'PS INPUTS'!$C$82)*J85/12)</f>
        <v>-1693.0352537216947</v>
      </c>
      <c r="K84" s="413">
        <f>(AVERAGE(J83:K83)*(1-'PS INPUTS'!$C$82)*K85/12)</f>
        <v>-1752.1699197553198</v>
      </c>
      <c r="L84" s="413">
        <f>(AVERAGE(K83:L83)*(1-'PS INPUTS'!$C$82)*L85/12)</f>
        <v>-1727.9322542947129</v>
      </c>
      <c r="M84" s="413">
        <f>(AVERAGE(L83:M83)*(1-'PS INPUTS'!$C$82)*M85/12)</f>
        <v>-1625.1568819461809</v>
      </c>
      <c r="N84" s="413">
        <f>(AVERAGE(M83:N83)*(1-'PS INPUTS'!$C$82)*N85/12)</f>
        <v>-1505.9006650302488</v>
      </c>
      <c r="O84" s="413">
        <f>(AVERAGE(N83:O83)*(1-'PS INPUTS'!$C$82)*O85/12)</f>
        <v>-1380.132215405335</v>
      </c>
      <c r="P84" s="239">
        <f>SUM(D84:O84)</f>
        <v>-17260.57048083721</v>
      </c>
      <c r="Q84" s="239"/>
      <c r="R84" s="239"/>
      <c r="S84" s="239"/>
      <c r="T84" s="179"/>
      <c r="U84" s="179"/>
      <c r="V84" s="179"/>
      <c r="W84" s="179"/>
      <c r="X84" s="179"/>
      <c r="Y84" s="179"/>
      <c r="Z84" s="178"/>
      <c r="AA84" s="179"/>
      <c r="AB84" s="179"/>
      <c r="AC84" s="179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</row>
    <row r="85" spans="1:77" ht="13.5" thickBot="1" x14ac:dyDescent="0.25">
      <c r="B85" s="213"/>
      <c r="C85" s="240">
        <v>-1107396.4860689254</v>
      </c>
      <c r="D85" s="215">
        <f>D69</f>
        <v>2.0899999999999998E-2</v>
      </c>
      <c r="E85" s="215">
        <f t="shared" ref="E85:J85" si="37">E69</f>
        <v>2.2099999999999998E-2</v>
      </c>
      <c r="F85" s="215">
        <f t="shared" si="37"/>
        <v>2.3799999999999998E-2</v>
      </c>
      <c r="G85" s="215">
        <f t="shared" si="37"/>
        <v>2.52E-2</v>
      </c>
      <c r="H85" s="215">
        <f t="shared" si="37"/>
        <v>2.7600000000000003E-2</v>
      </c>
      <c r="I85" s="215">
        <f t="shared" si="37"/>
        <v>2.8200000000000003E-2</v>
      </c>
      <c r="J85" s="215">
        <f t="shared" si="37"/>
        <v>2.8500000000000001E-2</v>
      </c>
      <c r="K85" s="215">
        <f>K69</f>
        <v>2.8500000000000001E-2</v>
      </c>
      <c r="L85" s="215">
        <f>L69</f>
        <v>2.8500000000000001E-2</v>
      </c>
      <c r="M85" s="215">
        <f>M69</f>
        <v>2.8500000000000001E-2</v>
      </c>
      <c r="N85" s="215">
        <f>N69</f>
        <v>2.8500000000000001E-2</v>
      </c>
      <c r="O85" s="215">
        <f t="shared" ref="O85" si="38">O69</f>
        <v>2.8500000000000001E-2</v>
      </c>
      <c r="P85" s="186"/>
      <c r="Q85" s="183"/>
      <c r="R85" s="183"/>
      <c r="S85" s="183"/>
      <c r="T85" s="179"/>
      <c r="U85" s="179"/>
      <c r="V85" s="179"/>
      <c r="W85" s="179"/>
      <c r="X85" s="179"/>
      <c r="Y85" s="179"/>
      <c r="Z85" s="178"/>
      <c r="AA85" s="179"/>
      <c r="AB85" s="179"/>
      <c r="AC85" s="179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8"/>
      <c r="BO85" s="178"/>
      <c r="BP85" s="178"/>
      <c r="BQ85" s="178"/>
      <c r="BR85" s="178"/>
      <c r="BS85" s="178"/>
      <c r="BT85" s="178"/>
      <c r="BU85" s="178"/>
      <c r="BV85" s="178"/>
      <c r="BW85" s="178"/>
      <c r="BX85" s="178"/>
      <c r="BY85" s="178"/>
    </row>
    <row r="86" spans="1:77" ht="13.5" thickTop="1" x14ac:dyDescent="0.2">
      <c r="B86" s="213"/>
      <c r="C86" s="241" t="s">
        <v>5</v>
      </c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79"/>
      <c r="U86" s="179"/>
      <c r="V86" s="179"/>
      <c r="W86" s="179"/>
      <c r="X86" s="179"/>
      <c r="Y86" s="179"/>
      <c r="Z86" s="178"/>
      <c r="AA86" s="179"/>
      <c r="AB86" s="179"/>
      <c r="AC86" s="179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78"/>
      <c r="BI86" s="178"/>
      <c r="BJ86" s="178"/>
      <c r="BK86" s="178"/>
      <c r="BL86" s="178"/>
      <c r="BM86" s="178"/>
      <c r="BN86" s="178"/>
      <c r="BO86" s="178"/>
      <c r="BP86" s="178"/>
      <c r="BQ86" s="178"/>
      <c r="BR86" s="178"/>
      <c r="BS86" s="178"/>
      <c r="BT86" s="178"/>
      <c r="BU86" s="178"/>
      <c r="BV86" s="178"/>
      <c r="BW86" s="178"/>
      <c r="BX86" s="178"/>
      <c r="BY86" s="178"/>
    </row>
    <row r="87" spans="1:77" x14ac:dyDescent="0.2">
      <c r="A87" s="176" t="s">
        <v>117</v>
      </c>
      <c r="B87" s="187"/>
      <c r="C87" s="242"/>
      <c r="D87" s="183">
        <f>+C83+C84+D81+D84</f>
        <v>-997891.00655401684</v>
      </c>
      <c r="E87" s="183">
        <f>(D87+E81+E84)</f>
        <v>-962018.24952164502</v>
      </c>
      <c r="F87" s="183">
        <f>E87+F81+F84</f>
        <v>-901980.42050882743</v>
      </c>
      <c r="G87" s="183">
        <f>F87+G81+G84</f>
        <v>-865168.44686493149</v>
      </c>
      <c r="H87" s="183">
        <f>G87+H81+H84</f>
        <v>-892758.14626207901</v>
      </c>
      <c r="I87" s="183">
        <f>H87+I81+I84</f>
        <v>-977164.82935960894</v>
      </c>
      <c r="J87" s="183">
        <f t="shared" ref="J87:O87" si="39">+I87+J81+J84</f>
        <v>-1022868.7546133306</v>
      </c>
      <c r="K87" s="183">
        <f t="shared" si="39"/>
        <v>-1049879.2145330859</v>
      </c>
      <c r="L87" s="183">
        <f t="shared" si="39"/>
        <v>-997957.3341124088</v>
      </c>
      <c r="M87" s="183">
        <f t="shared" si="39"/>
        <v>-932843.26210901083</v>
      </c>
      <c r="N87" s="183">
        <f t="shared" si="39"/>
        <v>-861394.0142366474</v>
      </c>
      <c r="O87" s="183">
        <f t="shared" si="39"/>
        <v>-788406.6167750241</v>
      </c>
      <c r="P87" s="183">
        <f>+P83+P84</f>
        <v>-788406.61677502422</v>
      </c>
      <c r="Q87" s="183"/>
      <c r="R87" s="183"/>
      <c r="S87" s="183"/>
      <c r="T87" s="179"/>
      <c r="U87" s="179"/>
      <c r="V87" s="179"/>
      <c r="W87" s="179"/>
      <c r="X87" s="179"/>
      <c r="Y87" s="179"/>
      <c r="Z87" s="178"/>
      <c r="AA87" s="179"/>
      <c r="AB87" s="179"/>
      <c r="AC87" s="179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178"/>
      <c r="BJ87" s="178"/>
      <c r="BK87" s="178"/>
      <c r="BL87" s="178"/>
      <c r="BM87" s="178"/>
      <c r="BN87" s="178"/>
      <c r="BO87" s="178"/>
      <c r="BP87" s="178"/>
      <c r="BQ87" s="178"/>
      <c r="BR87" s="178"/>
      <c r="BS87" s="178"/>
      <c r="BT87" s="178"/>
      <c r="BU87" s="178"/>
      <c r="BV87" s="178"/>
      <c r="BW87" s="178"/>
      <c r="BX87" s="178"/>
      <c r="BY87" s="178"/>
    </row>
    <row r="88" spans="1:77" x14ac:dyDescent="0.2">
      <c r="B88" s="187"/>
      <c r="C88" s="181"/>
      <c r="D88" s="182"/>
      <c r="E88" s="182"/>
      <c r="F88" s="182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4"/>
      <c r="S88" s="184"/>
      <c r="T88" s="179"/>
      <c r="U88" s="179"/>
      <c r="V88" s="179"/>
      <c r="W88" s="179"/>
      <c r="X88" s="179"/>
      <c r="Y88" s="179"/>
      <c r="Z88" s="178"/>
      <c r="AA88" s="179"/>
      <c r="AB88" s="179"/>
      <c r="AC88" s="179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78"/>
      <c r="BI88" s="178"/>
      <c r="BJ88" s="178"/>
      <c r="BK88" s="178"/>
      <c r="BL88" s="178"/>
      <c r="BM88" s="178"/>
      <c r="BN88" s="178"/>
      <c r="BO88" s="178"/>
      <c r="BP88" s="178"/>
      <c r="BQ88" s="178"/>
      <c r="BR88" s="178"/>
      <c r="BS88" s="178"/>
      <c r="BT88" s="178"/>
      <c r="BU88" s="178"/>
      <c r="BV88" s="178"/>
      <c r="BW88" s="178"/>
      <c r="BX88" s="178"/>
      <c r="BY88" s="178"/>
    </row>
    <row r="89" spans="1:77" x14ac:dyDescent="0.2">
      <c r="B89" s="187"/>
      <c r="C89" s="181"/>
      <c r="D89" s="182"/>
      <c r="E89" s="182"/>
      <c r="F89" s="182"/>
      <c r="G89" s="183"/>
      <c r="H89" s="183"/>
      <c r="I89" s="183"/>
      <c r="J89" s="182"/>
      <c r="K89" s="182"/>
      <c r="L89" s="182"/>
      <c r="M89" s="182"/>
      <c r="N89" s="182"/>
      <c r="O89" s="182"/>
      <c r="P89" s="182"/>
      <c r="Q89" s="183"/>
      <c r="R89" s="184"/>
      <c r="S89" s="184"/>
      <c r="T89" s="179"/>
      <c r="U89" s="179"/>
      <c r="V89" s="179"/>
      <c r="W89" s="179"/>
      <c r="X89" s="179"/>
      <c r="Y89" s="179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8"/>
      <c r="BL89" s="178"/>
      <c r="BM89" s="178"/>
      <c r="BN89" s="178"/>
      <c r="BO89" s="178"/>
      <c r="BP89" s="178"/>
      <c r="BQ89" s="178"/>
      <c r="BR89" s="178"/>
      <c r="BS89" s="178"/>
      <c r="BT89" s="178"/>
      <c r="BU89" s="178"/>
      <c r="BV89" s="178"/>
      <c r="BW89" s="178"/>
      <c r="BX89" s="178"/>
      <c r="BY89" s="178"/>
    </row>
    <row r="90" spans="1:77" x14ac:dyDescent="0.2">
      <c r="B90" s="187"/>
      <c r="C90" s="243"/>
      <c r="D90" s="182"/>
      <c r="E90" s="182"/>
      <c r="F90" s="182"/>
      <c r="G90" s="182"/>
      <c r="H90" s="182"/>
      <c r="I90" s="182"/>
      <c r="J90" s="244"/>
      <c r="K90" s="244"/>
      <c r="L90" s="244"/>
      <c r="M90" s="244"/>
      <c r="N90" s="244"/>
      <c r="O90" s="244"/>
      <c r="P90" s="244"/>
      <c r="Q90" s="243"/>
      <c r="R90" s="245"/>
      <c r="S90" s="245"/>
      <c r="T90" s="178"/>
      <c r="U90" s="178"/>
      <c r="V90" s="180"/>
      <c r="W90" s="180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8"/>
      <c r="BR90" s="178"/>
      <c r="BS90" s="178"/>
      <c r="BT90" s="178"/>
      <c r="BU90" s="178"/>
      <c r="BV90" s="178"/>
      <c r="BW90" s="178"/>
      <c r="BX90" s="178"/>
      <c r="BY90" s="178"/>
    </row>
    <row r="91" spans="1:77" x14ac:dyDescent="0.2">
      <c r="B91" s="187"/>
      <c r="C91" s="181"/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3"/>
      <c r="R91" s="245"/>
      <c r="S91" s="245"/>
      <c r="T91" s="178"/>
      <c r="U91" s="178"/>
      <c r="V91" s="180"/>
      <c r="W91" s="180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78"/>
      <c r="BN91" s="178"/>
      <c r="BO91" s="178"/>
      <c r="BP91" s="178"/>
      <c r="BQ91" s="178"/>
      <c r="BR91" s="178"/>
      <c r="BS91" s="178"/>
      <c r="BT91" s="178"/>
      <c r="BU91" s="178"/>
      <c r="BV91" s="178"/>
      <c r="BW91" s="178"/>
      <c r="BX91" s="178"/>
      <c r="BY91" s="178"/>
    </row>
    <row r="92" spans="1:77" x14ac:dyDescent="0.2">
      <c r="B92" s="185"/>
      <c r="C92" s="185"/>
      <c r="D92" s="246"/>
      <c r="E92" s="247"/>
      <c r="F92" s="247"/>
      <c r="G92" s="247"/>
      <c r="H92" s="247"/>
      <c r="I92" s="247"/>
      <c r="J92" s="247"/>
      <c r="K92" s="247"/>
      <c r="L92" s="247"/>
      <c r="M92" s="248"/>
      <c r="N92" s="246"/>
      <c r="O92" s="248"/>
      <c r="P92" s="245"/>
      <c r="Q92" s="245"/>
      <c r="T92" s="178"/>
      <c r="U92" s="178"/>
      <c r="V92" s="180"/>
      <c r="W92" s="180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78"/>
      <c r="BN92" s="178"/>
      <c r="BO92" s="178"/>
      <c r="BP92" s="178"/>
      <c r="BQ92" s="178"/>
      <c r="BR92" s="178"/>
      <c r="BS92" s="178"/>
      <c r="BT92" s="178"/>
      <c r="BU92" s="178"/>
      <c r="BV92" s="178"/>
      <c r="BW92" s="178"/>
      <c r="BX92" s="178"/>
      <c r="BY92" s="178"/>
    </row>
    <row r="93" spans="1:77" x14ac:dyDescent="0.2">
      <c r="A93" s="249"/>
      <c r="B93" s="16" t="s">
        <v>193</v>
      </c>
      <c r="C93" s="185"/>
      <c r="D93" s="246"/>
      <c r="E93" s="247"/>
      <c r="F93" s="247"/>
      <c r="G93" s="247"/>
      <c r="H93" s="247"/>
      <c r="I93" s="247"/>
      <c r="J93" s="247"/>
      <c r="K93" s="247"/>
      <c r="L93" s="247"/>
      <c r="M93" s="248"/>
      <c r="N93" s="244"/>
      <c r="O93" s="243"/>
      <c r="P93" s="245"/>
      <c r="Q93" s="245"/>
      <c r="T93" s="178"/>
      <c r="U93" s="178"/>
      <c r="V93" s="180"/>
      <c r="W93" s="180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78"/>
      <c r="BL93" s="178"/>
      <c r="BM93" s="178"/>
      <c r="BN93" s="178"/>
      <c r="BO93" s="178"/>
      <c r="BP93" s="178"/>
      <c r="BQ93" s="178"/>
      <c r="BR93" s="178"/>
      <c r="BS93" s="178"/>
      <c r="BT93" s="178"/>
      <c r="BU93" s="178"/>
      <c r="BV93" s="178"/>
      <c r="BW93" s="178"/>
      <c r="BX93" s="178"/>
      <c r="BY93" s="178"/>
    </row>
    <row r="94" spans="1:77" x14ac:dyDescent="0.2">
      <c r="A94" s="249"/>
      <c r="B94" s="185"/>
      <c r="E94" s="250"/>
      <c r="F94" s="250"/>
      <c r="G94" s="250"/>
      <c r="H94" s="250"/>
      <c r="I94" s="250"/>
      <c r="J94" s="250"/>
      <c r="K94" s="250"/>
      <c r="L94" s="250"/>
      <c r="M94" s="248"/>
      <c r="N94" s="251"/>
      <c r="O94" s="251"/>
      <c r="P94" s="187"/>
      <c r="Q94" s="187"/>
      <c r="V94" s="252"/>
      <c r="W94" s="252"/>
    </row>
    <row r="95" spans="1:77" ht="39" customHeight="1" x14ac:dyDescent="0.2">
      <c r="A95" s="249"/>
      <c r="B95" s="487"/>
      <c r="C95" s="488"/>
      <c r="D95" s="488"/>
      <c r="E95" s="488"/>
      <c r="F95" s="488"/>
      <c r="G95" s="488"/>
      <c r="H95" s="488"/>
      <c r="I95" s="488"/>
      <c r="J95" s="488"/>
      <c r="K95" s="488"/>
      <c r="L95" s="488"/>
      <c r="M95" s="248"/>
      <c r="N95" s="251"/>
      <c r="O95" s="251"/>
      <c r="P95" s="187"/>
      <c r="Q95" s="187"/>
      <c r="V95" s="252"/>
      <c r="W95" s="252"/>
    </row>
    <row r="96" spans="1:77" x14ac:dyDescent="0.2">
      <c r="B96" s="185"/>
      <c r="C96" s="185"/>
      <c r="D96" s="253"/>
      <c r="E96" s="254"/>
      <c r="F96" s="255"/>
      <c r="G96" s="251"/>
      <c r="H96" s="251"/>
      <c r="I96" s="251"/>
      <c r="J96" s="251"/>
      <c r="K96" s="251"/>
      <c r="L96" s="251"/>
      <c r="M96" s="238"/>
      <c r="N96" s="251"/>
      <c r="O96" s="251"/>
      <c r="P96" s="187"/>
      <c r="Q96" s="187"/>
      <c r="V96" s="252"/>
      <c r="W96" s="252"/>
    </row>
    <row r="97" spans="2:23" x14ac:dyDescent="0.2">
      <c r="B97" s="187"/>
      <c r="D97" s="256"/>
      <c r="E97" s="253"/>
      <c r="F97" s="255"/>
      <c r="G97" s="251"/>
      <c r="H97" s="251"/>
      <c r="I97" s="251"/>
      <c r="J97" s="251"/>
      <c r="K97" s="251"/>
      <c r="L97" s="251"/>
      <c r="M97" s="257"/>
      <c r="N97" s="251"/>
      <c r="O97" s="251"/>
      <c r="P97" s="187"/>
      <c r="Q97" s="187"/>
      <c r="V97" s="252"/>
      <c r="W97" s="252"/>
    </row>
    <row r="98" spans="2:23" x14ac:dyDescent="0.2">
      <c r="B98" s="181"/>
      <c r="D98" s="258"/>
      <c r="E98" s="253"/>
      <c r="F98" s="255"/>
      <c r="G98" s="251"/>
      <c r="H98" s="251"/>
      <c r="I98" s="251"/>
      <c r="J98" s="251"/>
      <c r="K98" s="251"/>
      <c r="L98" s="259"/>
      <c r="M98" s="257"/>
      <c r="N98" s="251"/>
      <c r="O98" s="251"/>
      <c r="P98" s="187"/>
      <c r="Q98" s="187"/>
      <c r="V98" s="252"/>
      <c r="W98" s="252"/>
    </row>
    <row r="99" spans="2:23" x14ac:dyDescent="0.2">
      <c r="B99" s="181"/>
      <c r="C99" s="185"/>
      <c r="D99" s="181"/>
      <c r="E99" s="260"/>
      <c r="F99" s="201"/>
      <c r="G99" s="259"/>
      <c r="H99" s="259"/>
      <c r="I99" s="259"/>
      <c r="J99" s="259"/>
      <c r="K99" s="259"/>
      <c r="L99" s="259"/>
      <c r="M99" s="259"/>
      <c r="N99" s="259"/>
      <c r="O99" s="257"/>
      <c r="P99" s="251"/>
      <c r="Q99" s="251"/>
      <c r="R99" s="187"/>
      <c r="S99" s="187"/>
      <c r="V99" s="252"/>
      <c r="W99" s="252"/>
    </row>
    <row r="100" spans="2:23" x14ac:dyDescent="0.2">
      <c r="B100" s="181"/>
      <c r="C100" s="185"/>
      <c r="D100" s="181"/>
      <c r="E100" s="260"/>
      <c r="F100" s="201"/>
      <c r="G100" s="259"/>
      <c r="H100" s="259"/>
      <c r="I100" s="259"/>
      <c r="J100" s="259"/>
      <c r="K100" s="259"/>
      <c r="L100" s="259"/>
      <c r="M100" s="259"/>
      <c r="N100" s="259"/>
      <c r="O100" s="238"/>
      <c r="P100" s="251"/>
      <c r="Q100" s="251"/>
      <c r="R100" s="187"/>
      <c r="S100" s="187"/>
      <c r="V100" s="252"/>
      <c r="W100" s="252"/>
    </row>
    <row r="101" spans="2:23" x14ac:dyDescent="0.2">
      <c r="B101" s="185"/>
      <c r="C101" s="185"/>
      <c r="D101" s="187"/>
      <c r="E101" s="260"/>
      <c r="F101" s="201"/>
      <c r="G101" s="259"/>
      <c r="H101" s="259"/>
      <c r="I101" s="259"/>
      <c r="J101" s="259"/>
      <c r="K101" s="259"/>
      <c r="L101" s="259"/>
      <c r="M101" s="259"/>
      <c r="N101" s="259"/>
      <c r="O101" s="238"/>
      <c r="P101" s="251"/>
      <c r="Q101" s="251"/>
      <c r="R101" s="187"/>
      <c r="S101" s="187"/>
      <c r="V101" s="252"/>
      <c r="W101" s="252"/>
    </row>
    <row r="102" spans="2:23" ht="24.75" customHeight="1" x14ac:dyDescent="0.2">
      <c r="B102" s="487"/>
      <c r="C102" s="488"/>
      <c r="D102" s="488"/>
      <c r="E102" s="488"/>
      <c r="F102" s="488"/>
      <c r="G102" s="488"/>
      <c r="H102" s="488"/>
      <c r="I102" s="488"/>
      <c r="J102" s="488"/>
      <c r="K102" s="488"/>
      <c r="L102" s="488"/>
      <c r="M102" s="251"/>
      <c r="N102" s="251"/>
      <c r="O102" s="238"/>
      <c r="P102" s="251"/>
      <c r="Q102" s="251"/>
      <c r="R102" s="187"/>
      <c r="S102" s="187"/>
      <c r="V102" s="252"/>
      <c r="W102" s="252"/>
    </row>
    <row r="103" spans="2:23" x14ac:dyDescent="0.2">
      <c r="B103" s="187"/>
      <c r="C103" s="185"/>
      <c r="D103" s="187"/>
      <c r="E103" s="260"/>
      <c r="F103" s="201"/>
      <c r="G103" s="201"/>
      <c r="H103" s="261"/>
      <c r="I103" s="251"/>
      <c r="J103" s="251"/>
      <c r="K103" s="251"/>
      <c r="L103" s="251"/>
      <c r="M103" s="251"/>
      <c r="N103" s="251"/>
      <c r="O103" s="238"/>
      <c r="P103" s="251"/>
      <c r="Q103" s="251"/>
      <c r="R103" s="187"/>
      <c r="S103" s="187"/>
      <c r="V103" s="252"/>
      <c r="W103" s="252"/>
    </row>
    <row r="104" spans="2:23" x14ac:dyDescent="0.2">
      <c r="B104" s="187"/>
      <c r="C104" s="262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251"/>
      <c r="Q104" s="251"/>
      <c r="R104" s="187"/>
      <c r="S104" s="187"/>
      <c r="V104" s="252"/>
      <c r="W104" s="252"/>
    </row>
    <row r="105" spans="2:23" x14ac:dyDescent="0.2">
      <c r="B105" s="187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251"/>
      <c r="Q105" s="251"/>
      <c r="R105" s="187"/>
      <c r="S105" s="187"/>
      <c r="V105" s="252"/>
      <c r="W105" s="252"/>
    </row>
    <row r="106" spans="2:23" x14ac:dyDescent="0.2">
      <c r="B106" s="187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251"/>
      <c r="Q106" s="251"/>
      <c r="R106" s="187"/>
      <c r="S106" s="187"/>
      <c r="V106" s="252"/>
      <c r="W106" s="252"/>
    </row>
    <row r="107" spans="2:23" x14ac:dyDescent="0.2">
      <c r="B107" s="187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251"/>
      <c r="Q107" s="251"/>
      <c r="R107" s="187"/>
      <c r="S107" s="187"/>
      <c r="V107" s="252"/>
      <c r="W107" s="252"/>
    </row>
    <row r="108" spans="2:23" x14ac:dyDescent="0.2">
      <c r="B108" s="213"/>
      <c r="C108" s="486"/>
      <c r="D108" s="486"/>
      <c r="E108" s="486"/>
      <c r="F108" s="486"/>
      <c r="G108" s="486"/>
      <c r="H108" s="486"/>
      <c r="I108" s="486"/>
      <c r="J108" s="185"/>
      <c r="K108" s="185"/>
      <c r="L108" s="185"/>
      <c r="M108" s="185"/>
      <c r="N108" s="185"/>
      <c r="O108" s="185"/>
      <c r="P108" s="251"/>
      <c r="Q108" s="251"/>
      <c r="R108" s="187"/>
      <c r="S108" s="187"/>
      <c r="V108" s="252"/>
      <c r="W108" s="252"/>
    </row>
    <row r="109" spans="2:23" x14ac:dyDescent="0.2">
      <c r="B109" s="213"/>
      <c r="C109" s="486"/>
      <c r="D109" s="486"/>
      <c r="E109" s="486"/>
      <c r="F109" s="486"/>
      <c r="G109" s="486"/>
      <c r="H109" s="486"/>
      <c r="I109" s="486"/>
      <c r="J109" s="185"/>
      <c r="K109" s="185"/>
      <c r="L109" s="185"/>
      <c r="M109" s="185"/>
      <c r="N109" s="185"/>
      <c r="O109" s="185"/>
      <c r="P109" s="251"/>
      <c r="Q109" s="251"/>
      <c r="R109" s="187"/>
      <c r="S109" s="187"/>
      <c r="V109" s="252"/>
      <c r="W109" s="252"/>
    </row>
    <row r="110" spans="2:23" x14ac:dyDescent="0.2">
      <c r="B110" s="187"/>
      <c r="C110" s="486"/>
      <c r="D110" s="486"/>
      <c r="E110" s="486"/>
      <c r="F110" s="486"/>
      <c r="G110" s="486"/>
      <c r="H110" s="486"/>
      <c r="I110" s="486"/>
      <c r="J110" s="185"/>
      <c r="K110" s="185"/>
      <c r="L110" s="185"/>
      <c r="M110" s="185"/>
      <c r="N110" s="185"/>
      <c r="O110" s="185"/>
      <c r="P110" s="251"/>
      <c r="Q110" s="251"/>
      <c r="R110" s="187"/>
      <c r="S110" s="187"/>
      <c r="V110" s="252"/>
      <c r="W110" s="252"/>
    </row>
    <row r="111" spans="2:23" x14ac:dyDescent="0.2">
      <c r="B111" s="187"/>
      <c r="C111" s="187"/>
      <c r="D111" s="251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187"/>
      <c r="S111" s="187"/>
      <c r="V111" s="252"/>
      <c r="W111" s="252"/>
    </row>
    <row r="112" spans="2:23" x14ac:dyDescent="0.2">
      <c r="B112" s="187"/>
      <c r="C112" s="187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187"/>
      <c r="S112" s="187"/>
      <c r="V112" s="252"/>
      <c r="W112" s="252"/>
    </row>
    <row r="113" spans="2:23" x14ac:dyDescent="0.2">
      <c r="B113" s="187"/>
      <c r="C113" s="187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187"/>
      <c r="S113" s="187"/>
      <c r="V113" s="252"/>
      <c r="W113" s="252"/>
    </row>
    <row r="114" spans="2:23" x14ac:dyDescent="0.2">
      <c r="B114" s="187"/>
      <c r="C114" s="187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187"/>
      <c r="S114" s="187"/>
      <c r="V114" s="252"/>
      <c r="W114" s="252"/>
    </row>
    <row r="115" spans="2:23" x14ac:dyDescent="0.2">
      <c r="B115" s="187"/>
      <c r="C115" s="187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187"/>
      <c r="S115" s="187"/>
      <c r="V115" s="252"/>
      <c r="W115" s="252"/>
    </row>
    <row r="116" spans="2:23" x14ac:dyDescent="0.2">
      <c r="B116" s="187"/>
      <c r="C116" s="187"/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187"/>
      <c r="S116" s="187"/>
      <c r="V116" s="252"/>
      <c r="W116" s="252"/>
    </row>
    <row r="117" spans="2:23" x14ac:dyDescent="0.2">
      <c r="B117" s="187"/>
      <c r="C117" s="187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187"/>
      <c r="S117" s="187"/>
      <c r="V117" s="252"/>
      <c r="W117" s="252"/>
    </row>
    <row r="118" spans="2:23" x14ac:dyDescent="0.2">
      <c r="B118" s="187"/>
      <c r="C118" s="187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187"/>
      <c r="S118" s="187"/>
      <c r="V118" s="252"/>
      <c r="W118" s="252"/>
    </row>
    <row r="119" spans="2:23" x14ac:dyDescent="0.2">
      <c r="B119" s="187"/>
      <c r="C119" s="187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187"/>
      <c r="S119" s="187"/>
      <c r="V119" s="252"/>
      <c r="W119" s="252"/>
    </row>
    <row r="120" spans="2:23" x14ac:dyDescent="0.2">
      <c r="B120" s="187"/>
      <c r="C120" s="187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187"/>
      <c r="S120" s="187"/>
      <c r="V120" s="252"/>
      <c r="W120" s="252"/>
    </row>
    <row r="121" spans="2:23" x14ac:dyDescent="0.2">
      <c r="B121" s="187"/>
      <c r="C121" s="187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251"/>
      <c r="R121" s="187"/>
      <c r="S121" s="187"/>
      <c r="V121" s="252"/>
      <c r="W121" s="252"/>
    </row>
    <row r="122" spans="2:23" x14ac:dyDescent="0.2">
      <c r="B122" s="187"/>
      <c r="C122" s="187"/>
      <c r="D122" s="251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187"/>
      <c r="S122" s="187"/>
      <c r="V122" s="252"/>
      <c r="W122" s="252"/>
    </row>
    <row r="123" spans="2:23" x14ac:dyDescent="0.2">
      <c r="B123" s="187"/>
      <c r="C123" s="187"/>
      <c r="D123" s="251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187"/>
      <c r="S123" s="187"/>
      <c r="V123" s="252"/>
      <c r="W123" s="252"/>
    </row>
    <row r="124" spans="2:23" x14ac:dyDescent="0.2">
      <c r="B124" s="187"/>
      <c r="C124" s="187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187"/>
      <c r="S124" s="187"/>
      <c r="V124" s="252"/>
      <c r="W124" s="252"/>
    </row>
    <row r="125" spans="2:23" x14ac:dyDescent="0.2">
      <c r="B125" s="187"/>
      <c r="C125" s="187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187"/>
      <c r="S125" s="187"/>
      <c r="V125" s="252"/>
      <c r="W125" s="252"/>
    </row>
    <row r="126" spans="2:23" x14ac:dyDescent="0.2">
      <c r="B126" s="187"/>
      <c r="C126" s="187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187"/>
      <c r="S126" s="187"/>
    </row>
    <row r="127" spans="2:23" x14ac:dyDescent="0.2">
      <c r="B127" s="187"/>
      <c r="C127" s="187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187"/>
      <c r="S127" s="187"/>
    </row>
    <row r="128" spans="2:23" x14ac:dyDescent="0.2">
      <c r="B128" s="187"/>
      <c r="C128" s="187"/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187"/>
      <c r="S128" s="187"/>
    </row>
    <row r="129" spans="2:19" x14ac:dyDescent="0.2">
      <c r="B129" s="187"/>
      <c r="C129" s="187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187"/>
      <c r="S129" s="187"/>
    </row>
    <row r="130" spans="2:19" x14ac:dyDescent="0.2">
      <c r="B130" s="187"/>
      <c r="C130" s="187"/>
      <c r="D130" s="251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187"/>
      <c r="S130" s="187"/>
    </row>
    <row r="131" spans="2:19" x14ac:dyDescent="0.2">
      <c r="B131" s="187"/>
      <c r="C131" s="187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187"/>
      <c r="S131" s="187"/>
    </row>
    <row r="132" spans="2:19" x14ac:dyDescent="0.2">
      <c r="B132" s="187"/>
      <c r="C132" s="187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187"/>
      <c r="S132" s="187"/>
    </row>
    <row r="133" spans="2:19" x14ac:dyDescent="0.2">
      <c r="B133" s="187"/>
      <c r="C133" s="187"/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187"/>
      <c r="S133" s="187"/>
    </row>
    <row r="134" spans="2:19" x14ac:dyDescent="0.2">
      <c r="B134" s="187"/>
      <c r="C134" s="187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187"/>
      <c r="S134" s="187"/>
    </row>
    <row r="135" spans="2:19" x14ac:dyDescent="0.2">
      <c r="B135" s="187"/>
      <c r="C135" s="187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187"/>
      <c r="S135" s="187"/>
    </row>
    <row r="136" spans="2:19" x14ac:dyDescent="0.2">
      <c r="B136" s="187"/>
      <c r="C136" s="187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187"/>
      <c r="S136" s="187"/>
    </row>
    <row r="137" spans="2:19" x14ac:dyDescent="0.2">
      <c r="B137" s="187"/>
      <c r="C137" s="187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187"/>
      <c r="S137" s="187"/>
    </row>
    <row r="138" spans="2:19" x14ac:dyDescent="0.2">
      <c r="B138" s="187"/>
      <c r="C138" s="187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251"/>
      <c r="R138" s="187"/>
      <c r="S138" s="187"/>
    </row>
    <row r="139" spans="2:19" x14ac:dyDescent="0.2">
      <c r="B139" s="187"/>
      <c r="C139" s="187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187"/>
      <c r="S139" s="187"/>
    </row>
    <row r="140" spans="2:19" x14ac:dyDescent="0.2">
      <c r="B140" s="187"/>
      <c r="C140" s="187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251"/>
      <c r="R140" s="187"/>
      <c r="S140" s="187"/>
    </row>
    <row r="141" spans="2:19" x14ac:dyDescent="0.2">
      <c r="B141" s="187"/>
      <c r="C141" s="187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187"/>
      <c r="S141" s="187"/>
    </row>
    <row r="142" spans="2:19" x14ac:dyDescent="0.2">
      <c r="B142" s="187"/>
      <c r="C142" s="187"/>
      <c r="D142" s="251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187"/>
      <c r="S142" s="187"/>
    </row>
    <row r="143" spans="2:19" x14ac:dyDescent="0.2">
      <c r="B143" s="187"/>
      <c r="C143" s="187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187"/>
      <c r="S143" s="187"/>
    </row>
    <row r="144" spans="2:19" x14ac:dyDescent="0.2">
      <c r="B144" s="187"/>
      <c r="C144" s="187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187"/>
      <c r="S144" s="187"/>
    </row>
    <row r="145" spans="2:19" x14ac:dyDescent="0.2">
      <c r="B145" s="187"/>
      <c r="C145" s="187"/>
      <c r="D145" s="251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187"/>
      <c r="S145" s="187"/>
    </row>
    <row r="146" spans="2:19" x14ac:dyDescent="0.2">
      <c r="B146" s="187"/>
      <c r="C146" s="187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187"/>
      <c r="S146" s="187"/>
    </row>
    <row r="147" spans="2:19" x14ac:dyDescent="0.2">
      <c r="B147" s="187"/>
      <c r="C147" s="187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251"/>
      <c r="R147" s="187"/>
      <c r="S147" s="187"/>
    </row>
    <row r="148" spans="2:19" x14ac:dyDescent="0.2">
      <c r="B148" s="187"/>
      <c r="C148" s="187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251"/>
      <c r="R148" s="187"/>
      <c r="S148" s="187"/>
    </row>
    <row r="149" spans="2:19" x14ac:dyDescent="0.2">
      <c r="B149" s="187"/>
      <c r="C149" s="187"/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187"/>
      <c r="S149" s="187"/>
    </row>
    <row r="150" spans="2:19" x14ac:dyDescent="0.2">
      <c r="B150" s="187"/>
      <c r="C150" s="187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187"/>
      <c r="S150" s="187"/>
    </row>
    <row r="151" spans="2:19" x14ac:dyDescent="0.2">
      <c r="B151" s="187"/>
      <c r="C151" s="187"/>
      <c r="D151" s="251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251"/>
      <c r="R151" s="187"/>
      <c r="S151" s="187"/>
    </row>
    <row r="152" spans="2:19" x14ac:dyDescent="0.2">
      <c r="B152" s="187"/>
      <c r="C152" s="187"/>
      <c r="D152" s="251"/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187"/>
      <c r="S152" s="187"/>
    </row>
    <row r="153" spans="2:19" x14ac:dyDescent="0.2">
      <c r="B153" s="187"/>
      <c r="C153" s="187"/>
      <c r="D153" s="251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187"/>
      <c r="S153" s="187"/>
    </row>
    <row r="154" spans="2:19" x14ac:dyDescent="0.2">
      <c r="B154" s="187"/>
      <c r="C154" s="187"/>
      <c r="D154" s="251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1"/>
      <c r="Q154" s="251"/>
      <c r="R154" s="187"/>
      <c r="S154" s="187"/>
    </row>
    <row r="155" spans="2:19" x14ac:dyDescent="0.2">
      <c r="B155" s="187"/>
      <c r="C155" s="187"/>
      <c r="D155" s="251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251"/>
      <c r="R155" s="187"/>
      <c r="S155" s="187"/>
    </row>
    <row r="156" spans="2:19" x14ac:dyDescent="0.2">
      <c r="B156" s="187"/>
      <c r="C156" s="187"/>
      <c r="D156" s="251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187"/>
      <c r="S156" s="187"/>
    </row>
    <row r="157" spans="2:19" x14ac:dyDescent="0.2">
      <c r="B157" s="187"/>
      <c r="C157" s="187"/>
      <c r="D157" s="251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187"/>
      <c r="S157" s="187"/>
    </row>
    <row r="158" spans="2:19" x14ac:dyDescent="0.2">
      <c r="B158" s="187"/>
      <c r="C158" s="187"/>
      <c r="D158" s="251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187"/>
      <c r="S158" s="187"/>
    </row>
    <row r="159" spans="2:19" x14ac:dyDescent="0.2">
      <c r="B159" s="187"/>
      <c r="C159" s="187"/>
      <c r="D159" s="251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187"/>
      <c r="S159" s="187"/>
    </row>
    <row r="160" spans="2:19" x14ac:dyDescent="0.2">
      <c r="B160" s="187"/>
      <c r="C160" s="187"/>
      <c r="D160" s="251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187"/>
      <c r="S160" s="187"/>
    </row>
    <row r="161" spans="2:19" x14ac:dyDescent="0.2">
      <c r="B161" s="187"/>
      <c r="C161" s="187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187"/>
      <c r="S161" s="187"/>
    </row>
    <row r="162" spans="2:19" x14ac:dyDescent="0.2">
      <c r="B162" s="187"/>
      <c r="C162" s="187"/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187"/>
      <c r="S162" s="187"/>
    </row>
    <row r="163" spans="2:19" x14ac:dyDescent="0.2">
      <c r="B163" s="187"/>
      <c r="C163" s="187"/>
      <c r="D163" s="251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187"/>
      <c r="S163" s="187"/>
    </row>
    <row r="164" spans="2:19" x14ac:dyDescent="0.2">
      <c r="B164" s="187"/>
      <c r="C164" s="187"/>
      <c r="D164" s="251"/>
      <c r="E164" s="251"/>
      <c r="F164" s="251"/>
      <c r="G164" s="251"/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187"/>
      <c r="S164" s="187"/>
    </row>
    <row r="165" spans="2:19" x14ac:dyDescent="0.2">
      <c r="B165" s="187"/>
      <c r="C165" s="187"/>
      <c r="D165" s="251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187"/>
      <c r="S165" s="187"/>
    </row>
    <row r="166" spans="2:19" x14ac:dyDescent="0.2">
      <c r="B166" s="187"/>
      <c r="C166" s="187"/>
      <c r="D166" s="251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187"/>
      <c r="S166" s="187"/>
    </row>
    <row r="167" spans="2:19" x14ac:dyDescent="0.2">
      <c r="B167" s="187"/>
      <c r="C167" s="187"/>
      <c r="D167" s="251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187"/>
      <c r="S167" s="187"/>
    </row>
    <row r="168" spans="2:19" x14ac:dyDescent="0.2">
      <c r="B168" s="187"/>
      <c r="C168" s="187"/>
      <c r="D168" s="251"/>
      <c r="E168" s="251"/>
      <c r="F168" s="251"/>
      <c r="G168" s="251"/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187"/>
      <c r="S168" s="187"/>
    </row>
    <row r="169" spans="2:19" x14ac:dyDescent="0.2">
      <c r="B169" s="187"/>
      <c r="C169" s="187"/>
      <c r="D169" s="251"/>
      <c r="E169" s="251"/>
      <c r="F169" s="251"/>
      <c r="G169" s="251"/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187"/>
      <c r="S169" s="187"/>
    </row>
    <row r="170" spans="2:19" x14ac:dyDescent="0.2">
      <c r="B170" s="187"/>
      <c r="C170" s="187"/>
      <c r="D170" s="251"/>
      <c r="E170" s="251"/>
      <c r="F170" s="251"/>
      <c r="G170" s="251"/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187"/>
      <c r="S170" s="187"/>
    </row>
    <row r="171" spans="2:19" x14ac:dyDescent="0.2">
      <c r="B171" s="187"/>
      <c r="C171" s="187"/>
      <c r="D171" s="251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187"/>
      <c r="S171" s="187"/>
    </row>
    <row r="172" spans="2:19" x14ac:dyDescent="0.2">
      <c r="B172" s="187"/>
      <c r="C172" s="187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187"/>
      <c r="S172" s="187"/>
    </row>
    <row r="173" spans="2:19" x14ac:dyDescent="0.2">
      <c r="B173" s="187"/>
      <c r="C173" s="187"/>
      <c r="D173" s="251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187"/>
      <c r="S173" s="187"/>
    </row>
    <row r="174" spans="2:19" x14ac:dyDescent="0.2">
      <c r="B174" s="187"/>
      <c r="C174" s="187"/>
      <c r="D174" s="251"/>
      <c r="E174" s="251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187"/>
      <c r="S174" s="187"/>
    </row>
    <row r="175" spans="2:19" x14ac:dyDescent="0.2">
      <c r="B175" s="187"/>
      <c r="C175" s="187"/>
      <c r="D175" s="251"/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187"/>
      <c r="S175" s="187"/>
    </row>
    <row r="176" spans="2:19" x14ac:dyDescent="0.2">
      <c r="B176" s="187"/>
      <c r="C176" s="187"/>
      <c r="D176" s="251"/>
      <c r="E176" s="251"/>
      <c r="F176" s="251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187"/>
      <c r="S176" s="187"/>
    </row>
    <row r="177" spans="2:19" x14ac:dyDescent="0.2">
      <c r="B177" s="187"/>
      <c r="C177" s="187"/>
      <c r="D177" s="251"/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187"/>
      <c r="S177" s="187"/>
    </row>
    <row r="178" spans="2:19" x14ac:dyDescent="0.2">
      <c r="B178" s="187"/>
      <c r="C178" s="187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187"/>
      <c r="S178" s="187"/>
    </row>
    <row r="179" spans="2:19" x14ac:dyDescent="0.2">
      <c r="B179" s="187"/>
      <c r="C179" s="187"/>
      <c r="D179" s="251"/>
      <c r="E179" s="251"/>
      <c r="F179" s="251"/>
      <c r="G179" s="251"/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187"/>
      <c r="S179" s="187"/>
    </row>
    <row r="180" spans="2:19" x14ac:dyDescent="0.2">
      <c r="B180" s="187"/>
      <c r="C180" s="187"/>
      <c r="D180" s="251"/>
      <c r="E180" s="251"/>
      <c r="F180" s="251"/>
      <c r="G180" s="251"/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187"/>
      <c r="S180" s="187"/>
    </row>
    <row r="181" spans="2:19" x14ac:dyDescent="0.2">
      <c r="B181" s="187"/>
      <c r="C181" s="187"/>
      <c r="D181" s="251"/>
      <c r="E181" s="251"/>
      <c r="F181" s="251"/>
      <c r="G181" s="251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187"/>
      <c r="S181" s="187"/>
    </row>
    <row r="182" spans="2:19" x14ac:dyDescent="0.2">
      <c r="B182" s="187"/>
      <c r="C182" s="187"/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187"/>
      <c r="S182" s="187"/>
    </row>
    <row r="183" spans="2:19" x14ac:dyDescent="0.2">
      <c r="B183" s="187"/>
      <c r="C183" s="187"/>
      <c r="D183" s="251"/>
      <c r="E183" s="251"/>
      <c r="F183" s="251"/>
      <c r="G183" s="251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187"/>
      <c r="S183" s="187"/>
    </row>
    <row r="184" spans="2:19" x14ac:dyDescent="0.2">
      <c r="B184" s="187"/>
      <c r="C184" s="187"/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  <c r="P184" s="251"/>
      <c r="Q184" s="251"/>
      <c r="R184" s="187"/>
      <c r="S184" s="187"/>
    </row>
    <row r="185" spans="2:19" x14ac:dyDescent="0.2">
      <c r="B185" s="187"/>
      <c r="C185" s="187"/>
      <c r="D185" s="251"/>
      <c r="E185" s="251"/>
      <c r="F185" s="251"/>
      <c r="G185" s="251"/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187"/>
      <c r="S185" s="187"/>
    </row>
    <row r="186" spans="2:19" x14ac:dyDescent="0.2">
      <c r="B186" s="187"/>
      <c r="C186" s="187"/>
      <c r="D186" s="251"/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187"/>
      <c r="S186" s="187"/>
    </row>
    <row r="187" spans="2:19" x14ac:dyDescent="0.2">
      <c r="B187" s="187"/>
      <c r="C187" s="187"/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187"/>
      <c r="S187" s="187"/>
    </row>
    <row r="188" spans="2:19" x14ac:dyDescent="0.2">
      <c r="B188" s="187"/>
      <c r="C188" s="187"/>
      <c r="D188" s="251"/>
      <c r="E188" s="251"/>
      <c r="F188" s="251"/>
      <c r="G188" s="251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187"/>
      <c r="S188" s="187"/>
    </row>
    <row r="189" spans="2:19" x14ac:dyDescent="0.2">
      <c r="B189" s="187"/>
      <c r="C189" s="187"/>
      <c r="D189" s="251"/>
      <c r="E189" s="251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187"/>
      <c r="S189" s="187"/>
    </row>
    <row r="190" spans="2:19" x14ac:dyDescent="0.2">
      <c r="B190" s="187"/>
      <c r="C190" s="187"/>
      <c r="D190" s="251"/>
      <c r="E190" s="251"/>
      <c r="F190" s="251"/>
      <c r="G190" s="251"/>
      <c r="H190" s="251"/>
      <c r="I190" s="251"/>
      <c r="J190" s="251"/>
      <c r="K190" s="251"/>
      <c r="L190" s="251"/>
      <c r="M190" s="251"/>
      <c r="N190" s="251"/>
      <c r="O190" s="251"/>
      <c r="P190" s="251"/>
      <c r="Q190" s="251"/>
      <c r="R190" s="187"/>
      <c r="S190" s="187"/>
    </row>
    <row r="191" spans="2:19" x14ac:dyDescent="0.2">
      <c r="B191" s="187"/>
      <c r="C191" s="187"/>
      <c r="D191" s="251"/>
      <c r="E191" s="251"/>
      <c r="F191" s="251"/>
      <c r="G191" s="251"/>
      <c r="H191" s="251"/>
      <c r="I191" s="251"/>
      <c r="J191" s="251"/>
      <c r="K191" s="251"/>
      <c r="L191" s="251"/>
      <c r="M191" s="251"/>
      <c r="N191" s="251"/>
      <c r="O191" s="251"/>
      <c r="P191" s="251"/>
      <c r="Q191" s="251"/>
      <c r="R191" s="187"/>
      <c r="S191" s="187"/>
    </row>
    <row r="192" spans="2:19" x14ac:dyDescent="0.2">
      <c r="B192" s="187"/>
      <c r="C192" s="187"/>
      <c r="D192" s="251"/>
      <c r="E192" s="251"/>
      <c r="F192" s="251"/>
      <c r="G192" s="251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187"/>
      <c r="S192" s="187"/>
    </row>
    <row r="193" spans="2:19" x14ac:dyDescent="0.2">
      <c r="B193" s="187"/>
      <c r="C193" s="187"/>
      <c r="D193" s="251"/>
      <c r="E193" s="251"/>
      <c r="F193" s="251"/>
      <c r="G193" s="251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187"/>
      <c r="S193" s="187"/>
    </row>
    <row r="194" spans="2:19" x14ac:dyDescent="0.2">
      <c r="B194" s="187"/>
      <c r="C194" s="187"/>
      <c r="D194" s="251"/>
      <c r="E194" s="251"/>
      <c r="F194" s="251"/>
      <c r="G194" s="251"/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187"/>
      <c r="S194" s="187"/>
    </row>
    <row r="195" spans="2:19" x14ac:dyDescent="0.2">
      <c r="B195" s="187"/>
      <c r="C195" s="187"/>
      <c r="D195" s="251"/>
      <c r="E195" s="251"/>
      <c r="F195" s="251"/>
      <c r="G195" s="251"/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187"/>
      <c r="S195" s="187"/>
    </row>
    <row r="196" spans="2:19" x14ac:dyDescent="0.2">
      <c r="B196" s="187"/>
      <c r="C196" s="187"/>
      <c r="D196" s="251"/>
      <c r="E196" s="251"/>
      <c r="F196" s="251"/>
      <c r="G196" s="251"/>
      <c r="H196" s="251"/>
      <c r="I196" s="251"/>
      <c r="J196" s="251"/>
      <c r="K196" s="251"/>
      <c r="L196" s="251"/>
      <c r="M196" s="251"/>
      <c r="N196" s="251"/>
      <c r="O196" s="251"/>
      <c r="P196" s="251"/>
      <c r="Q196" s="251"/>
      <c r="R196" s="187"/>
      <c r="S196" s="187"/>
    </row>
    <row r="197" spans="2:19" x14ac:dyDescent="0.2">
      <c r="B197" s="187"/>
      <c r="C197" s="187"/>
      <c r="D197" s="251"/>
      <c r="E197" s="251"/>
      <c r="F197" s="251"/>
      <c r="G197" s="251"/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187"/>
      <c r="S197" s="187"/>
    </row>
    <row r="198" spans="2:19" x14ac:dyDescent="0.2">
      <c r="B198" s="187"/>
      <c r="C198" s="187"/>
      <c r="D198" s="251"/>
      <c r="E198" s="251"/>
      <c r="F198" s="251"/>
      <c r="G198" s="251"/>
      <c r="H198" s="251"/>
      <c r="I198" s="251"/>
      <c r="J198" s="251"/>
      <c r="K198" s="251"/>
      <c r="L198" s="251"/>
      <c r="M198" s="251"/>
      <c r="N198" s="251"/>
      <c r="O198" s="251"/>
      <c r="P198" s="251"/>
      <c r="Q198" s="251"/>
      <c r="R198" s="187"/>
      <c r="S198" s="187"/>
    </row>
    <row r="199" spans="2:19" x14ac:dyDescent="0.2">
      <c r="B199" s="187"/>
      <c r="C199" s="187"/>
      <c r="D199" s="251"/>
      <c r="E199" s="251"/>
      <c r="F199" s="251"/>
      <c r="G199" s="251"/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187"/>
      <c r="S199" s="187"/>
    </row>
    <row r="200" spans="2:19" x14ac:dyDescent="0.2">
      <c r="B200" s="187"/>
      <c r="C200" s="187"/>
      <c r="D200" s="251"/>
      <c r="E200" s="251"/>
      <c r="F200" s="251"/>
      <c r="G200" s="251"/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187"/>
      <c r="S200" s="187"/>
    </row>
    <row r="201" spans="2:19" x14ac:dyDescent="0.2">
      <c r="B201" s="187"/>
      <c r="C201" s="187"/>
      <c r="D201" s="251"/>
      <c r="E201" s="251"/>
      <c r="F201" s="251"/>
      <c r="G201" s="251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187"/>
      <c r="S201" s="187"/>
    </row>
    <row r="202" spans="2:19" x14ac:dyDescent="0.2">
      <c r="B202" s="187"/>
      <c r="C202" s="187"/>
      <c r="D202" s="251"/>
      <c r="E202" s="251"/>
      <c r="F202" s="251"/>
      <c r="G202" s="251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187"/>
      <c r="S202" s="187"/>
    </row>
    <row r="203" spans="2:19" x14ac:dyDescent="0.2">
      <c r="B203" s="187"/>
      <c r="C203" s="187"/>
      <c r="D203" s="251"/>
      <c r="E203" s="251"/>
      <c r="F203" s="251"/>
      <c r="G203" s="251"/>
      <c r="H203" s="251"/>
      <c r="I203" s="251"/>
      <c r="J203" s="251"/>
      <c r="K203" s="251"/>
      <c r="L203" s="251"/>
      <c r="M203" s="251"/>
      <c r="N203" s="251"/>
      <c r="O203" s="251"/>
      <c r="P203" s="251"/>
      <c r="Q203" s="251"/>
      <c r="R203" s="187"/>
      <c r="S203" s="187"/>
    </row>
    <row r="204" spans="2:19" x14ac:dyDescent="0.2">
      <c r="B204" s="187"/>
      <c r="C204" s="187"/>
      <c r="D204" s="251"/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187"/>
      <c r="S204" s="187"/>
    </row>
    <row r="205" spans="2:19" x14ac:dyDescent="0.2">
      <c r="B205" s="187"/>
      <c r="C205" s="187"/>
      <c r="D205" s="251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187"/>
      <c r="S205" s="187"/>
    </row>
    <row r="206" spans="2:19" x14ac:dyDescent="0.2">
      <c r="B206" s="187"/>
      <c r="C206" s="187"/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187"/>
      <c r="S206" s="187"/>
    </row>
    <row r="207" spans="2:19" x14ac:dyDescent="0.2">
      <c r="B207" s="187"/>
      <c r="C207" s="187"/>
      <c r="D207" s="251"/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187"/>
      <c r="S207" s="187"/>
    </row>
    <row r="208" spans="2:19" x14ac:dyDescent="0.2">
      <c r="B208" s="187"/>
      <c r="C208" s="187"/>
      <c r="D208" s="251"/>
      <c r="E208" s="251"/>
      <c r="F208" s="251"/>
      <c r="G208" s="251"/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187"/>
      <c r="S208" s="187"/>
    </row>
    <row r="209" spans="2:19" x14ac:dyDescent="0.2">
      <c r="B209" s="187"/>
      <c r="C209" s="187"/>
      <c r="D209" s="251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187"/>
      <c r="S209" s="187"/>
    </row>
    <row r="210" spans="2:19" x14ac:dyDescent="0.2">
      <c r="B210" s="187"/>
      <c r="C210" s="187"/>
      <c r="D210" s="251"/>
      <c r="E210" s="251"/>
      <c r="F210" s="251"/>
      <c r="G210" s="251"/>
      <c r="H210" s="251"/>
      <c r="I210" s="251"/>
      <c r="J210" s="251"/>
      <c r="K210" s="251"/>
      <c r="L210" s="251"/>
      <c r="M210" s="251"/>
      <c r="N210" s="251"/>
      <c r="O210" s="251"/>
      <c r="P210" s="251"/>
      <c r="Q210" s="251"/>
      <c r="R210" s="187"/>
      <c r="S210" s="187"/>
    </row>
    <row r="211" spans="2:19" x14ac:dyDescent="0.2">
      <c r="B211" s="187"/>
      <c r="C211" s="187"/>
      <c r="D211" s="251"/>
      <c r="E211" s="251"/>
      <c r="F211" s="251"/>
      <c r="G211" s="251"/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187"/>
      <c r="S211" s="187"/>
    </row>
    <row r="212" spans="2:19" x14ac:dyDescent="0.2">
      <c r="B212" s="187"/>
      <c r="C212" s="187"/>
      <c r="D212" s="251"/>
      <c r="E212" s="251"/>
      <c r="F212" s="251"/>
      <c r="G212" s="251"/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187"/>
      <c r="S212" s="187"/>
    </row>
    <row r="213" spans="2:19" x14ac:dyDescent="0.2">
      <c r="B213" s="187"/>
      <c r="C213" s="187"/>
      <c r="D213" s="251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187"/>
      <c r="S213" s="187"/>
    </row>
    <row r="214" spans="2:19" x14ac:dyDescent="0.2">
      <c r="B214" s="187"/>
      <c r="C214" s="187"/>
      <c r="D214" s="251"/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251"/>
      <c r="R214" s="187"/>
      <c r="S214" s="187"/>
    </row>
    <row r="215" spans="2:19" x14ac:dyDescent="0.2">
      <c r="B215" s="187"/>
      <c r="C215" s="187"/>
      <c r="D215" s="251"/>
      <c r="E215" s="251"/>
      <c r="F215" s="251"/>
      <c r="G215" s="251"/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187"/>
      <c r="S215" s="187"/>
    </row>
    <row r="216" spans="2:19" x14ac:dyDescent="0.2">
      <c r="B216" s="187"/>
      <c r="C216" s="187"/>
      <c r="D216" s="251"/>
      <c r="E216" s="251"/>
      <c r="F216" s="251"/>
      <c r="G216" s="251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187"/>
      <c r="S216" s="187"/>
    </row>
    <row r="217" spans="2:19" x14ac:dyDescent="0.2">
      <c r="B217" s="187"/>
      <c r="C217" s="187"/>
      <c r="D217" s="251"/>
      <c r="E217" s="251"/>
      <c r="F217" s="251"/>
      <c r="G217" s="251"/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187"/>
      <c r="S217" s="187"/>
    </row>
  </sheetData>
  <sheetProtection formatCells="0" formatColumns="0" formatRows="0" insertColumns="0" insertRows="0" insertHyperlinks="0" deleteColumns="0" deleteRows="0" sort="0" autoFilter="0" pivotTables="0"/>
  <mergeCells count="3">
    <mergeCell ref="C108:I110"/>
    <mergeCell ref="B102:L102"/>
    <mergeCell ref="B95:L95"/>
  </mergeCells>
  <phoneticPr fontId="0" type="noConversion"/>
  <printOptions horizontalCentered="1"/>
  <pageMargins left="0.2" right="0.2" top="0" bottom="0" header="0.32" footer="0"/>
  <pageSetup paperSize="5" scale="65" fitToWidth="2" orientation="landscape" r:id="rId1"/>
  <headerFooter alignWithMargins="0">
    <oddFooter xml:space="preserve">&amp;L
&amp;R&amp;"Arial,Bold"&amp;11&amp;F
&amp;A
</oddFooter>
  </headerFooter>
  <rowBreaks count="1" manualBreakCount="1">
    <brk id="56" max="16" man="1"/>
  </rowBreaks>
  <colBreaks count="1" manualBreakCount="1">
    <brk id="17" max="1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V400"/>
  <sheetViews>
    <sheetView view="pageBreakPreview" zoomScaleNormal="100" zoomScaleSheetLayoutView="100" workbookViewId="0">
      <pane xSplit="1" ySplit="5" topLeftCell="B6" activePane="bottomRight" state="frozen"/>
      <selection activeCell="C30" sqref="C29:C30"/>
      <selection pane="topRight" activeCell="C30" sqref="C29:C30"/>
      <selection pane="bottomLeft" activeCell="C30" sqref="C29:C30"/>
      <selection pane="bottomRight" activeCell="D42" sqref="D42"/>
    </sheetView>
  </sheetViews>
  <sheetFormatPr defaultRowHeight="12.75" x14ac:dyDescent="0.2"/>
  <cols>
    <col min="1" max="1" width="38.42578125" style="1" customWidth="1"/>
    <col min="2" max="2" width="8.140625" style="1" customWidth="1"/>
    <col min="3" max="3" width="16.5703125" style="1" customWidth="1"/>
    <col min="4" max="4" width="13.5703125" style="1" customWidth="1"/>
    <col min="5" max="5" width="12.7109375" style="1" customWidth="1"/>
    <col min="6" max="6" width="13.140625" style="1" customWidth="1"/>
    <col min="7" max="7" width="13.7109375" style="1" customWidth="1"/>
    <col min="8" max="8" width="14" style="1" customWidth="1"/>
    <col min="9" max="13" width="12.7109375" style="1" customWidth="1"/>
    <col min="14" max="14" width="14.5703125" style="1" customWidth="1"/>
    <col min="15" max="15" width="13.85546875" style="1" customWidth="1"/>
    <col min="16" max="16" width="13.42578125" style="1" customWidth="1"/>
    <col min="17" max="17" width="13.5703125" style="1" customWidth="1"/>
    <col min="18" max="16384" width="9.140625" style="1"/>
  </cols>
  <sheetData>
    <row r="1" spans="1:22" x14ac:dyDescent="0.2">
      <c r="A1" s="68" t="s">
        <v>44</v>
      </c>
      <c r="B1" s="68"/>
    </row>
    <row r="2" spans="1:22" x14ac:dyDescent="0.2">
      <c r="F2" s="18"/>
    </row>
    <row r="3" spans="1:22" s="4" customFormat="1" x14ac:dyDescent="0.2">
      <c r="C3" s="76"/>
      <c r="D3" s="4" t="str">
        <f>'PS INPUTS'!C3</f>
        <v>October</v>
      </c>
      <c r="E3" s="4" t="str">
        <f>'PS INPUTS'!D3</f>
        <v>November</v>
      </c>
      <c r="F3" s="4" t="str">
        <f>'PS INPUTS'!E3</f>
        <v>December</v>
      </c>
      <c r="G3" s="4" t="str">
        <f>'PS INPUTS'!F3</f>
        <v>January</v>
      </c>
      <c r="H3" s="4" t="str">
        <f>'PS INPUTS'!G3</f>
        <v>February</v>
      </c>
      <c r="I3" s="4" t="str">
        <f>'PS INPUTS'!H3</f>
        <v>March</v>
      </c>
      <c r="J3" s="4" t="str">
        <f>'PS INPUTS'!I3</f>
        <v xml:space="preserve">April </v>
      </c>
      <c r="K3" s="4" t="str">
        <f>'PS INPUTS'!J3</f>
        <v>May</v>
      </c>
      <c r="L3" s="4" t="str">
        <f>'PS INPUTS'!K3</f>
        <v>June</v>
      </c>
      <c r="M3" s="4" t="str">
        <f>'PS INPUTS'!L3</f>
        <v>July</v>
      </c>
      <c r="N3" s="4" t="str">
        <f>'PS INPUTS'!M3</f>
        <v>August</v>
      </c>
      <c r="O3" s="4" t="str">
        <f>'PS INPUTS'!N3</f>
        <v>September</v>
      </c>
      <c r="P3" s="4" t="s">
        <v>1</v>
      </c>
    </row>
    <row r="4" spans="1:22" s="4" customFormat="1" x14ac:dyDescent="0.2">
      <c r="C4" s="76"/>
      <c r="D4" s="4">
        <f>'PS INPUTS'!C4</f>
        <v>2017</v>
      </c>
      <c r="E4" s="4">
        <f>'PS INPUTS'!D4</f>
        <v>2017</v>
      </c>
      <c r="F4" s="4">
        <f>'PS INPUTS'!E4</f>
        <v>2017</v>
      </c>
      <c r="G4" s="4">
        <f>'PS INPUTS'!F4</f>
        <v>2018</v>
      </c>
      <c r="H4" s="4">
        <f>'PS INPUTS'!G4</f>
        <v>2018</v>
      </c>
      <c r="I4" s="4">
        <f>'PS INPUTS'!H4</f>
        <v>2018</v>
      </c>
      <c r="J4" s="4">
        <f>'PS INPUTS'!I4</f>
        <v>2018</v>
      </c>
      <c r="K4" s="4">
        <f>'PS INPUTS'!J4</f>
        <v>2018</v>
      </c>
      <c r="L4" s="4">
        <f>'PS INPUTS'!K4</f>
        <v>2018</v>
      </c>
      <c r="M4" s="4">
        <f>'PS INPUTS'!L4</f>
        <v>2018</v>
      </c>
      <c r="N4" s="4">
        <f>'PS INPUTS'!M4</f>
        <v>2018</v>
      </c>
      <c r="O4" s="4">
        <f>'PS INPUTS'!N4</f>
        <v>2018</v>
      </c>
    </row>
    <row r="5" spans="1:22" s="4" customFormat="1" x14ac:dyDescent="0.2">
      <c r="C5" s="76"/>
      <c r="D5" s="4" t="str">
        <f>'PS INPUTS'!C5</f>
        <v>actual</v>
      </c>
      <c r="E5" s="4" t="str">
        <f>'PS INPUTS'!D5</f>
        <v>actual</v>
      </c>
      <c r="F5" s="4" t="str">
        <f>'PS INPUTS'!E5</f>
        <v>actual</v>
      </c>
      <c r="G5" s="4" t="str">
        <f>'PS INPUTS'!F5</f>
        <v>actual</v>
      </c>
      <c r="H5" s="4" t="str">
        <f>'PS INPUTS'!G5</f>
        <v>actual</v>
      </c>
      <c r="I5" s="4" t="str">
        <f>'PS INPUTS'!H5</f>
        <v>actual</v>
      </c>
      <c r="J5" s="4" t="str">
        <f>'PS INPUTS'!I5</f>
        <v>actual</v>
      </c>
      <c r="K5" s="4" t="str">
        <f>'PS INPUTS'!J5</f>
        <v>estimate</v>
      </c>
      <c r="L5" s="4" t="str">
        <f>'PS INPUTS'!K5</f>
        <v>estimate</v>
      </c>
      <c r="M5" s="4" t="str">
        <f>'PS INPUTS'!L5</f>
        <v>estimate</v>
      </c>
      <c r="N5" s="4" t="str">
        <f>'PS INPUTS'!M5</f>
        <v>estimate</v>
      </c>
      <c r="O5" s="4" t="str">
        <f>'PS INPUTS'!N5</f>
        <v>estimate</v>
      </c>
      <c r="Q5" s="28"/>
    </row>
    <row r="6" spans="1:22" s="4" customFormat="1" x14ac:dyDescent="0.2">
      <c r="A6" s="4" t="s">
        <v>32</v>
      </c>
    </row>
    <row r="7" spans="1:22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22"/>
      <c r="Q7" s="12"/>
      <c r="R7" s="12"/>
      <c r="S7" s="12"/>
      <c r="T7" s="12"/>
      <c r="U7" s="12"/>
      <c r="V7" s="12"/>
    </row>
    <row r="8" spans="1:22" x14ac:dyDescent="0.2">
      <c r="A8" s="1" t="s">
        <v>131</v>
      </c>
      <c r="B8" s="12"/>
      <c r="C8" s="22" t="s">
        <v>5</v>
      </c>
      <c r="D8" s="22">
        <f>D26+D42+D58+D74</f>
        <v>-3.9563019527122378E-11</v>
      </c>
      <c r="E8" s="22">
        <f t="shared" ref="E8:O8" si="0">E26+E42+E58+E74</f>
        <v>10344351.384461649</v>
      </c>
      <c r="F8" s="22">
        <f t="shared" si="0"/>
        <v>7490412.9800000004</v>
      </c>
      <c r="G8" s="22">
        <f t="shared" si="0"/>
        <v>10855198.310000001</v>
      </c>
      <c r="H8" s="22">
        <f t="shared" si="0"/>
        <v>8979382.7699999996</v>
      </c>
      <c r="I8" s="22">
        <f t="shared" si="0"/>
        <v>9163812.1699999999</v>
      </c>
      <c r="J8" s="22">
        <f t="shared" si="0"/>
        <v>8219874.2299999995</v>
      </c>
      <c r="K8" s="22">
        <f t="shared" si="0"/>
        <v>7484353.4500000002</v>
      </c>
      <c r="L8" s="22">
        <f t="shared" si="0"/>
        <v>7174396.009271956</v>
      </c>
      <c r="M8" s="22">
        <f t="shared" si="0"/>
        <v>8589920.6838671267</v>
      </c>
      <c r="N8" s="22">
        <f t="shared" si="0"/>
        <v>10331192.111879054</v>
      </c>
      <c r="O8" s="22">
        <f t="shared" si="0"/>
        <v>10167156.399029143</v>
      </c>
      <c r="P8" s="22">
        <f>SUM(D8:O8)</f>
        <v>98800050.49850893</v>
      </c>
      <c r="Q8" s="22"/>
      <c r="R8" s="22"/>
      <c r="S8" s="12"/>
      <c r="T8" s="12"/>
      <c r="U8" s="12"/>
      <c r="V8" s="12"/>
    </row>
    <row r="9" spans="1:22" x14ac:dyDescent="0.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12"/>
      <c r="T9" s="12"/>
      <c r="U9" s="12"/>
      <c r="V9" s="12"/>
    </row>
    <row r="10" spans="1:22" x14ac:dyDescent="0.2">
      <c r="A10" s="22" t="s">
        <v>26</v>
      </c>
      <c r="B10" s="22"/>
      <c r="C10" s="22"/>
      <c r="D10" s="22">
        <f t="shared" ref="D10:O10" si="1">D28+D44+D60+D76</f>
        <v>8507583.8399999999</v>
      </c>
      <c r="E10" s="22">
        <f t="shared" si="1"/>
        <v>8017029.4099999992</v>
      </c>
      <c r="F10" s="22">
        <f t="shared" si="1"/>
        <v>7705024.8500000006</v>
      </c>
      <c r="G10" s="22">
        <f t="shared" si="1"/>
        <v>8155215.549999998</v>
      </c>
      <c r="H10" s="22">
        <f t="shared" si="1"/>
        <v>7181676.8600000003</v>
      </c>
      <c r="I10" s="22">
        <f t="shared" si="1"/>
        <v>7856387.8900000025</v>
      </c>
      <c r="J10" s="22">
        <f t="shared" si="1"/>
        <v>7920261.379999999</v>
      </c>
      <c r="K10" s="22">
        <f t="shared" si="1"/>
        <v>7920261.379999999</v>
      </c>
      <c r="L10" s="22">
        <f t="shared" si="1"/>
        <v>7920261.379999999</v>
      </c>
      <c r="M10" s="22">
        <f t="shared" si="1"/>
        <v>7920261.379999999</v>
      </c>
      <c r="N10" s="22">
        <f>N28+N44+N60+N76</f>
        <v>7920261.379999999</v>
      </c>
      <c r="O10" s="22">
        <f t="shared" si="1"/>
        <v>7920261.379999999</v>
      </c>
      <c r="P10" s="22">
        <f>SUM(D10:O10)</f>
        <v>94944486.679999977</v>
      </c>
      <c r="Q10" s="22"/>
      <c r="R10" s="22"/>
      <c r="S10" s="12"/>
      <c r="T10" s="12"/>
      <c r="U10" s="12"/>
      <c r="V10" s="12"/>
    </row>
    <row r="11" spans="1:22" x14ac:dyDescent="0.2">
      <c r="A11" s="12" t="s">
        <v>55</v>
      </c>
      <c r="B11" s="22"/>
      <c r="C11" s="22"/>
      <c r="D11" s="22">
        <f>D29+D45+D61+D77</f>
        <v>279124.13240000006</v>
      </c>
      <c r="E11" s="22">
        <f t="shared" ref="E11:O11" si="2">E29+E45+E61+E77</f>
        <v>272944.04560000001</v>
      </c>
      <c r="F11" s="22">
        <f t="shared" si="2"/>
        <v>277170.11239999998</v>
      </c>
      <c r="G11" s="22">
        <f t="shared" si="2"/>
        <v>274632.2476</v>
      </c>
      <c r="H11" s="22">
        <f t="shared" si="2"/>
        <v>249073.06999999998</v>
      </c>
      <c r="I11" s="22">
        <f t="shared" si="2"/>
        <v>273936.7868</v>
      </c>
      <c r="J11" s="22">
        <f t="shared" si="2"/>
        <v>277115.55800000002</v>
      </c>
      <c r="K11" s="22">
        <f t="shared" si="2"/>
        <v>277115.55800000002</v>
      </c>
      <c r="L11" s="22">
        <f t="shared" si="2"/>
        <v>277115.55800000002</v>
      </c>
      <c r="M11" s="22">
        <f t="shared" si="2"/>
        <v>277115.55800000002</v>
      </c>
      <c r="N11" s="22">
        <f t="shared" si="2"/>
        <v>277115.55800000002</v>
      </c>
      <c r="O11" s="22">
        <f t="shared" si="2"/>
        <v>277115.55800000002</v>
      </c>
      <c r="P11" s="22">
        <f>SUM(D11:O11)</f>
        <v>3289573.7428000011</v>
      </c>
      <c r="Q11" s="22"/>
      <c r="R11" s="22"/>
      <c r="S11" s="12"/>
      <c r="T11" s="12"/>
      <c r="U11" s="12"/>
      <c r="V11" s="12"/>
    </row>
    <row r="12" spans="1:22" x14ac:dyDescent="0.2">
      <c r="A12" s="12" t="s">
        <v>138</v>
      </c>
      <c r="B12" s="22"/>
      <c r="C12" s="22"/>
      <c r="D12" s="22">
        <f>D30+D46+D62+D78</f>
        <v>0</v>
      </c>
      <c r="E12" s="22">
        <f t="shared" ref="E12:O12" si="3">E30+E46+E62+E78</f>
        <v>176.64</v>
      </c>
      <c r="F12" s="22">
        <f t="shared" si="3"/>
        <v>21.62</v>
      </c>
      <c r="G12" s="22">
        <f t="shared" si="3"/>
        <v>0</v>
      </c>
      <c r="H12" s="22">
        <f t="shared" si="3"/>
        <v>18.399999999999999</v>
      </c>
      <c r="I12" s="22">
        <f t="shared" si="3"/>
        <v>0</v>
      </c>
      <c r="J12" s="22">
        <f t="shared" si="3"/>
        <v>-439</v>
      </c>
      <c r="K12" s="22">
        <f t="shared" si="3"/>
        <v>0</v>
      </c>
      <c r="L12" s="22">
        <f t="shared" si="3"/>
        <v>0</v>
      </c>
      <c r="M12" s="22">
        <f t="shared" si="3"/>
        <v>0</v>
      </c>
      <c r="N12" s="22">
        <f t="shared" si="3"/>
        <v>0</v>
      </c>
      <c r="O12" s="22">
        <f t="shared" si="3"/>
        <v>0</v>
      </c>
      <c r="P12" s="22">
        <f>SUM(D12:O12)</f>
        <v>-222.34</v>
      </c>
      <c r="Q12" s="22"/>
      <c r="R12" s="22"/>
      <c r="S12" s="12"/>
      <c r="T12" s="12"/>
      <c r="U12" s="12"/>
      <c r="V12" s="12"/>
    </row>
    <row r="13" spans="1:22" x14ac:dyDescent="0.2">
      <c r="A13" s="22" t="s">
        <v>27</v>
      </c>
      <c r="B13" s="22"/>
      <c r="C13" s="22"/>
      <c r="D13" s="22">
        <f>D36+D52+D68+D84</f>
        <v>-14341.850198886199</v>
      </c>
      <c r="E13" s="22">
        <f t="shared" ref="E13:P13" si="4">E36+E52+E68+E84</f>
        <v>-11498.291660897188</v>
      </c>
      <c r="F13" s="22">
        <f t="shared" si="4"/>
        <v>-13299.232547758236</v>
      </c>
      <c r="G13" s="22">
        <f t="shared" si="4"/>
        <v>-18574.015713127108</v>
      </c>
      <c r="H13" s="22">
        <f t="shared" si="4"/>
        <v>-23628.385505490209</v>
      </c>
      <c r="I13" s="22">
        <f t="shared" si="4"/>
        <v>-26323.166928695922</v>
      </c>
      <c r="J13" s="22">
        <f t="shared" si="4"/>
        <v>-27505.063002203307</v>
      </c>
      <c r="K13" s="22">
        <f t="shared" si="4"/>
        <v>-26915.93987602308</v>
      </c>
      <c r="L13" s="22">
        <f t="shared" si="4"/>
        <v>-25433.923755489963</v>
      </c>
      <c r="M13" s="22">
        <f t="shared" si="4"/>
        <v>-24895.723472713984</v>
      </c>
      <c r="N13" s="22">
        <f t="shared" si="4"/>
        <v>-27052.460292758049</v>
      </c>
      <c r="O13" s="22">
        <f t="shared" si="4"/>
        <v>-30555.673385112717</v>
      </c>
      <c r="P13" s="22">
        <f t="shared" si="4"/>
        <v>-270023.72633915592</v>
      </c>
      <c r="Q13" s="22"/>
      <c r="R13" s="22"/>
      <c r="S13" s="12"/>
      <c r="T13" s="12"/>
      <c r="U13" s="12"/>
      <c r="V13" s="12"/>
    </row>
    <row r="14" spans="1:22" x14ac:dyDescent="0.2">
      <c r="A14" s="22" t="s">
        <v>29</v>
      </c>
      <c r="B14" s="22"/>
      <c r="C14" s="22"/>
      <c r="D14" s="11">
        <f t="shared" ref="D14:L14" si="5">SUM(D10:D13)</f>
        <v>8772366.1222011149</v>
      </c>
      <c r="E14" s="11">
        <f t="shared" si="5"/>
        <v>8278651.8039391013</v>
      </c>
      <c r="F14" s="11">
        <f t="shared" si="5"/>
        <v>7968917.3498522425</v>
      </c>
      <c r="G14" s="11">
        <f t="shared" si="5"/>
        <v>8411273.78188687</v>
      </c>
      <c r="H14" s="11">
        <f t="shared" si="5"/>
        <v>7407139.944494511</v>
      </c>
      <c r="I14" s="11">
        <f t="shared" si="5"/>
        <v>8104001.5098713068</v>
      </c>
      <c r="J14" s="11">
        <f t="shared" si="5"/>
        <v>8169432.8749977956</v>
      </c>
      <c r="K14" s="11">
        <f t="shared" si="5"/>
        <v>8170460.9981239764</v>
      </c>
      <c r="L14" s="11">
        <f t="shared" si="5"/>
        <v>8171943.0142445089</v>
      </c>
      <c r="M14" s="11">
        <f>SUM(M10:M13)</f>
        <v>8172481.2145272847</v>
      </c>
      <c r="N14" s="11">
        <f>SUM(N10:N13)</f>
        <v>8170324.4777072407</v>
      </c>
      <c r="O14" s="11">
        <f>SUM(O10:O13)</f>
        <v>8166821.2646148866</v>
      </c>
      <c r="P14" s="22">
        <f>SUM(D14:O14)</f>
        <v>97963814.35646081</v>
      </c>
      <c r="Q14" s="11"/>
      <c r="R14" s="22"/>
      <c r="S14" s="12"/>
      <c r="T14" s="12"/>
      <c r="U14" s="12"/>
      <c r="V14" s="12"/>
    </row>
    <row r="15" spans="1:22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12"/>
      <c r="T15" s="12"/>
      <c r="U15" s="12"/>
      <c r="V15" s="12"/>
    </row>
    <row r="16" spans="1:22" x14ac:dyDescent="0.2">
      <c r="A16" s="12" t="s">
        <v>116</v>
      </c>
      <c r="B16" s="22"/>
      <c r="C16" s="22"/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f>SUM(D16:O16)</f>
        <v>0</v>
      </c>
      <c r="Q16" s="35"/>
      <c r="R16" s="22"/>
      <c r="S16" s="12"/>
      <c r="T16" s="12"/>
      <c r="U16" s="12"/>
      <c r="V16" s="12"/>
    </row>
    <row r="17" spans="1:22" x14ac:dyDescent="0.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51"/>
      <c r="Q17" s="22"/>
      <c r="R17" s="22"/>
      <c r="S17" s="12"/>
      <c r="T17" s="12"/>
      <c r="U17" s="12"/>
      <c r="V17" s="12"/>
    </row>
    <row r="18" spans="1:22" x14ac:dyDescent="0.2">
      <c r="A18" s="22" t="s">
        <v>28</v>
      </c>
      <c r="B18" s="22"/>
      <c r="C18" s="22"/>
      <c r="D18" s="11">
        <f t="shared" ref="D18:N18" si="6">D14+D16</f>
        <v>8772366.1222011149</v>
      </c>
      <c r="E18" s="11">
        <f t="shared" si="6"/>
        <v>8278651.8039391013</v>
      </c>
      <c r="F18" s="11">
        <f t="shared" si="6"/>
        <v>7968917.3498522425</v>
      </c>
      <c r="G18" s="11">
        <f t="shared" si="6"/>
        <v>8411273.78188687</v>
      </c>
      <c r="H18" s="11">
        <f t="shared" si="6"/>
        <v>7407139.944494511</v>
      </c>
      <c r="I18" s="11">
        <f t="shared" si="6"/>
        <v>8104001.5098713068</v>
      </c>
      <c r="J18" s="11">
        <f t="shared" si="6"/>
        <v>8169432.8749977956</v>
      </c>
      <c r="K18" s="11">
        <f t="shared" si="6"/>
        <v>8170460.9981239764</v>
      </c>
      <c r="L18" s="11">
        <f t="shared" si="6"/>
        <v>8171943.0142445089</v>
      </c>
      <c r="M18" s="11">
        <f t="shared" si="6"/>
        <v>8172481.2145272847</v>
      </c>
      <c r="N18" s="11">
        <f t="shared" si="6"/>
        <v>8170324.4777072407</v>
      </c>
      <c r="O18" s="11">
        <f>O14+O16</f>
        <v>8166821.2646148866</v>
      </c>
      <c r="P18" s="52">
        <f>SUM(D18:O18)</f>
        <v>97963814.35646081</v>
      </c>
      <c r="Q18" s="11"/>
      <c r="R18" s="22"/>
      <c r="S18" s="12"/>
      <c r="T18" s="12"/>
      <c r="U18" s="12"/>
      <c r="V18" s="12"/>
    </row>
    <row r="19" spans="1:22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12"/>
      <c r="S19" s="12"/>
      <c r="T19" s="12"/>
      <c r="U19" s="12"/>
      <c r="V19" s="12"/>
    </row>
    <row r="20" spans="1:22" x14ac:dyDescent="0.2">
      <c r="A20" s="1" t="s">
        <v>117</v>
      </c>
      <c r="B20" s="53" t="s">
        <v>114</v>
      </c>
      <c r="C20" s="22">
        <f>+C35+C51+C67+C83+C56+C68+C84+C52+C36</f>
        <v>-18328744.791061215</v>
      </c>
      <c r="D20" s="17">
        <f>+C20+D18-D8</f>
        <v>-9556378.6688601002</v>
      </c>
      <c r="E20" s="17">
        <f>+D20+E18-E8-C68-C84-C36</f>
        <v>-11643362.223705515</v>
      </c>
      <c r="F20" s="17">
        <f t="shared" ref="F20:I20" si="7">+E20+F18-F8</f>
        <v>-11164857.853853274</v>
      </c>
      <c r="G20" s="17">
        <f t="shared" si="7"/>
        <v>-13608782.381966405</v>
      </c>
      <c r="H20" s="17">
        <f t="shared" si="7"/>
        <v>-15181025.207471892</v>
      </c>
      <c r="I20" s="17">
        <f t="shared" si="7"/>
        <v>-16240835.867600586</v>
      </c>
      <c r="J20" s="17">
        <f t="shared" ref="J20" si="8">+I20+J18-J8</f>
        <v>-16291277.22260279</v>
      </c>
      <c r="K20" s="17">
        <f t="shared" ref="K20" si="9">+J20+K18-K8</f>
        <v>-15605169.674478814</v>
      </c>
      <c r="L20" s="17">
        <f t="shared" ref="L20" si="10">+K20+L18-L8</f>
        <v>-14607622.669506261</v>
      </c>
      <c r="M20" s="17">
        <f t="shared" ref="M20" si="11">+L20+M18-M8</f>
        <v>-15025062.138846103</v>
      </c>
      <c r="N20" s="17">
        <f t="shared" ref="N20" si="12">+M20+N18-N8</f>
        <v>-17185929.773017917</v>
      </c>
      <c r="O20" s="17">
        <f t="shared" ref="O20" si="13">+N20+O18-O8</f>
        <v>-19186264.907432172</v>
      </c>
      <c r="P20" s="17">
        <f>+C20+P18-P8-C68-C84-C36</f>
        <v>-19186264.90743221</v>
      </c>
      <c r="Q20" s="17"/>
      <c r="R20" s="12"/>
      <c r="S20" s="12"/>
      <c r="T20" s="12"/>
      <c r="U20" s="12"/>
      <c r="V20" s="12"/>
    </row>
    <row r="21" spans="1:22" x14ac:dyDescent="0.2">
      <c r="A21" s="12"/>
      <c r="B21" s="1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12"/>
      <c r="S21" s="12"/>
      <c r="T21" s="12"/>
      <c r="U21" s="12"/>
      <c r="V21" s="12"/>
    </row>
    <row r="22" spans="1:22" x14ac:dyDescent="0.2">
      <c r="A22" s="12"/>
      <c r="B22" s="1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12"/>
      <c r="R22" s="12"/>
      <c r="S22" s="12"/>
      <c r="T22" s="12"/>
      <c r="U22" s="12"/>
      <c r="V22" s="12"/>
    </row>
    <row r="23" spans="1:22" x14ac:dyDescent="0.2">
      <c r="A23" s="12" t="s">
        <v>31</v>
      </c>
      <c r="B23" s="12"/>
      <c r="C23" s="1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12"/>
      <c r="R23" s="12"/>
      <c r="S23" s="12"/>
      <c r="T23" s="12"/>
      <c r="U23" s="12"/>
      <c r="V23" s="12"/>
    </row>
    <row r="24" spans="1:22" x14ac:dyDescent="0.2">
      <c r="A24" s="12"/>
      <c r="B24" s="12"/>
      <c r="C24" s="12"/>
      <c r="D24" s="22"/>
      <c r="E24" s="22"/>
      <c r="F24" s="22"/>
      <c r="G24" s="22"/>
      <c r="H24" s="22"/>
      <c r="I24" s="22"/>
      <c r="J24" s="30"/>
      <c r="K24" s="22"/>
      <c r="L24" s="22"/>
      <c r="M24" s="22"/>
      <c r="N24" s="22"/>
      <c r="O24" s="22"/>
      <c r="P24" s="22"/>
      <c r="Q24" s="12"/>
      <c r="R24" s="12"/>
      <c r="S24" s="12"/>
      <c r="T24" s="12"/>
      <c r="U24" s="12"/>
      <c r="V24" s="12"/>
    </row>
    <row r="25" spans="1:22" x14ac:dyDescent="0.2">
      <c r="A25" s="50" t="s">
        <v>37</v>
      </c>
      <c r="B25" s="50"/>
      <c r="C25" s="12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22"/>
      <c r="Q25" s="12"/>
      <c r="R25" s="12"/>
      <c r="S25" s="12"/>
      <c r="T25" s="12"/>
      <c r="U25" s="12"/>
      <c r="V25" s="12"/>
    </row>
    <row r="26" spans="1:22" x14ac:dyDescent="0.2">
      <c r="A26" s="1" t="s">
        <v>131</v>
      </c>
      <c r="B26" s="12"/>
      <c r="C26" s="472"/>
      <c r="D26" s="85">
        <f>'PS INPUTS'!C63</f>
        <v>-3.9563019527122378E-11</v>
      </c>
      <c r="E26" s="85">
        <f>'PS INPUTS'!D63</f>
        <v>7883560.1944616493</v>
      </c>
      <c r="F26" s="85">
        <f>'PS INPUTS'!E63</f>
        <v>5592091.7000000002</v>
      </c>
      <c r="G26" s="85">
        <f>'PS INPUTS'!F63</f>
        <v>4653080.1100000003</v>
      </c>
      <c r="H26" s="85">
        <f>'PS INPUTS'!G63</f>
        <v>5121263.16</v>
      </c>
      <c r="I26" s="85">
        <f>'PS INPUTS'!H63</f>
        <v>5899504.4400000004</v>
      </c>
      <c r="J26" s="85">
        <f>'PS INPUTS'!I63</f>
        <v>5108228.68</v>
      </c>
      <c r="K26" s="85">
        <f>'$ Transfer from State'!D15</f>
        <v>4624480</v>
      </c>
      <c r="L26" s="85">
        <f>'$ Transfer from State'!E15</f>
        <v>4414980.7508129571</v>
      </c>
      <c r="M26" s="85">
        <f>'$ Transfer from State'!F15</f>
        <v>5286066.5094694039</v>
      </c>
      <c r="N26" s="85">
        <f>'$ Transfer from State'!G15</f>
        <v>6357610.347679331</v>
      </c>
      <c r="O26" s="85">
        <f>'$ Transfer from State'!H15</f>
        <v>6256666.0293363947</v>
      </c>
      <c r="P26" s="27">
        <f>SUM(D26:O26)</f>
        <v>61197531.921759732</v>
      </c>
      <c r="Q26" s="12"/>
      <c r="R26" s="12"/>
      <c r="S26" s="12"/>
      <c r="T26" s="12"/>
      <c r="U26" s="12"/>
      <c r="V26" s="12"/>
    </row>
    <row r="27" spans="1:22" x14ac:dyDescent="0.2">
      <c r="A27" s="12"/>
      <c r="B27" s="12"/>
      <c r="C27" s="472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19"/>
      <c r="Q27" s="12"/>
      <c r="R27" s="12"/>
      <c r="S27" s="12"/>
      <c r="T27" s="12"/>
      <c r="U27" s="12"/>
      <c r="V27" s="12"/>
    </row>
    <row r="28" spans="1:22" x14ac:dyDescent="0.2">
      <c r="A28" s="12" t="s">
        <v>26</v>
      </c>
      <c r="B28" s="12"/>
      <c r="C28" s="472"/>
      <c r="D28" s="3">
        <f>'PS INPUTS'!C64</f>
        <v>5470330.0099999988</v>
      </c>
      <c r="E28" s="3">
        <f>'PS INPUTS'!D64</f>
        <v>5160123.7299999995</v>
      </c>
      <c r="F28" s="3">
        <f>'PS INPUTS'!E64</f>
        <v>4946404.1900000004</v>
      </c>
      <c r="G28" s="3">
        <f>'PS INPUTS'!F64</f>
        <v>5274294.8299999982</v>
      </c>
      <c r="H28" s="3">
        <f>'PS INPUTS'!G64</f>
        <v>4444559.62</v>
      </c>
      <c r="I28" s="3">
        <f>'PS INPUTS'!H64</f>
        <v>4845734.9000000013</v>
      </c>
      <c r="J28" s="3">
        <f>'PS INPUTS'!I64</f>
        <v>4873220.3599999994</v>
      </c>
      <c r="K28" s="3">
        <f>'PS INPUTS'!J64</f>
        <v>4873220.3599999994</v>
      </c>
      <c r="L28" s="3">
        <f>'PS INPUTS'!K64</f>
        <v>4873220.3599999994</v>
      </c>
      <c r="M28" s="3">
        <f>'PS INPUTS'!L64</f>
        <v>4873220.3599999994</v>
      </c>
      <c r="N28" s="3">
        <f>'PS INPUTS'!M64</f>
        <v>4873220.3599999994</v>
      </c>
      <c r="O28" s="3">
        <f>'PS INPUTS'!N64</f>
        <v>4873220.3599999994</v>
      </c>
      <c r="P28" s="19">
        <f>SUM(D28:O28)</f>
        <v>59380769.439999998</v>
      </c>
      <c r="Q28" s="22"/>
      <c r="R28" s="12"/>
      <c r="S28" s="12"/>
      <c r="T28" s="12"/>
      <c r="U28" s="12"/>
      <c r="V28" s="12"/>
    </row>
    <row r="29" spans="1:22" x14ac:dyDescent="0.2">
      <c r="A29" s="12" t="s">
        <v>55</v>
      </c>
      <c r="B29" s="12"/>
      <c r="C29" s="472"/>
      <c r="D29" s="3">
        <f>'PS INPUTS'!C65</f>
        <v>162867.30240000002</v>
      </c>
      <c r="E29" s="3">
        <f>'PS INPUTS'!D65</f>
        <v>182704.5056</v>
      </c>
      <c r="F29" s="3">
        <f>'PS INPUTS'!E65</f>
        <v>171510.82239999998</v>
      </c>
      <c r="G29" s="3">
        <f>'PS INPUTS'!F65</f>
        <v>177094.77759999997</v>
      </c>
      <c r="H29" s="3">
        <f>'PS INPUTS'!G65</f>
        <v>173268.8</v>
      </c>
      <c r="I29" s="3">
        <f>'PS INPUTS'!H65</f>
        <v>177881.83679999999</v>
      </c>
      <c r="J29" s="3">
        <f>'PS INPUTS'!I65</f>
        <v>171282.52800000002</v>
      </c>
      <c r="K29" s="3">
        <f>'PS INPUTS'!J65</f>
        <v>171282.52800000002</v>
      </c>
      <c r="L29" s="3">
        <f>'PS INPUTS'!K65</f>
        <v>171282.52800000002</v>
      </c>
      <c r="M29" s="3">
        <f>'PS INPUTS'!L65</f>
        <v>171282.52800000002</v>
      </c>
      <c r="N29" s="3">
        <f>'PS INPUTS'!M65</f>
        <v>171282.52800000002</v>
      </c>
      <c r="O29" s="3">
        <f>'PS INPUTS'!N65</f>
        <v>171282.52800000002</v>
      </c>
      <c r="P29" s="19">
        <f>SUM(D29:O29)</f>
        <v>2073023.2127999996</v>
      </c>
      <c r="Q29" s="22"/>
      <c r="R29" s="12"/>
      <c r="S29" s="12"/>
      <c r="T29" s="12"/>
      <c r="U29" s="12"/>
      <c r="V29" s="12"/>
    </row>
    <row r="30" spans="1:22" x14ac:dyDescent="0.2">
      <c r="A30" s="12" t="s">
        <v>138</v>
      </c>
      <c r="B30" s="12"/>
      <c r="C30" s="472"/>
      <c r="D30" s="35">
        <f>'Summary Admin'!C10</f>
        <v>0</v>
      </c>
      <c r="E30" s="35">
        <f>'Summary Admin'!D10</f>
        <v>0</v>
      </c>
      <c r="F30" s="35">
        <f>'Summary Admin'!E10</f>
        <v>0</v>
      </c>
      <c r="G30" s="35">
        <f>'Summary Admin'!F10</f>
        <v>0</v>
      </c>
      <c r="H30" s="35">
        <f>'Summary Admin'!G10</f>
        <v>0</v>
      </c>
      <c r="I30" s="35">
        <f>'Summary Admin'!H10</f>
        <v>0</v>
      </c>
      <c r="J30" s="35">
        <f>'Summary Admin'!I10</f>
        <v>0</v>
      </c>
      <c r="K30" s="35">
        <f>'Summary Admin'!J10</f>
        <v>0</v>
      </c>
      <c r="L30" s="35">
        <f>'Summary Admin'!K10</f>
        <v>0</v>
      </c>
      <c r="M30" s="35">
        <f>'Summary Admin'!L10</f>
        <v>0</v>
      </c>
      <c r="N30" s="35">
        <f>'Summary Admin'!M10</f>
        <v>0</v>
      </c>
      <c r="O30" s="35">
        <f>'Summary Admin'!N10</f>
        <v>0</v>
      </c>
      <c r="P30" s="19">
        <f>SUM(D30:O30)</f>
        <v>0</v>
      </c>
      <c r="Q30" s="22"/>
      <c r="R30" s="12"/>
      <c r="S30" s="12"/>
      <c r="T30" s="12"/>
      <c r="U30" s="12"/>
      <c r="V30" s="12"/>
    </row>
    <row r="31" spans="1:22" x14ac:dyDescent="0.2">
      <c r="A31" s="12" t="s">
        <v>29</v>
      </c>
      <c r="B31" s="12"/>
      <c r="C31" s="472"/>
      <c r="D31" s="17">
        <f t="shared" ref="D31:O31" si="14">SUM(D28:D30)</f>
        <v>5633197.3123999992</v>
      </c>
      <c r="E31" s="17">
        <f t="shared" si="14"/>
        <v>5342828.2355999993</v>
      </c>
      <c r="F31" s="17">
        <f t="shared" si="14"/>
        <v>5117915.0124000004</v>
      </c>
      <c r="G31" s="17">
        <f>SUM(G28:G30)</f>
        <v>5451389.6075999979</v>
      </c>
      <c r="H31" s="17">
        <f t="shared" si="14"/>
        <v>4617828.42</v>
      </c>
      <c r="I31" s="17">
        <f t="shared" si="14"/>
        <v>5023616.736800001</v>
      </c>
      <c r="J31" s="17">
        <f t="shared" si="14"/>
        <v>5044502.8879999993</v>
      </c>
      <c r="K31" s="17">
        <f t="shared" si="14"/>
        <v>5044502.8879999993</v>
      </c>
      <c r="L31" s="17">
        <f t="shared" si="14"/>
        <v>5044502.8879999993</v>
      </c>
      <c r="M31" s="17">
        <f t="shared" si="14"/>
        <v>5044502.8879999993</v>
      </c>
      <c r="N31" s="17">
        <f t="shared" si="14"/>
        <v>5044502.8879999993</v>
      </c>
      <c r="O31" s="17">
        <f t="shared" si="14"/>
        <v>5044502.8879999993</v>
      </c>
      <c r="P31" s="27">
        <f>SUM(D31:O31)</f>
        <v>61453792.652799979</v>
      </c>
      <c r="Q31" s="22"/>
      <c r="R31" s="12"/>
      <c r="S31" s="12"/>
      <c r="T31" s="12"/>
      <c r="U31" s="12"/>
      <c r="V31" s="12"/>
    </row>
    <row r="32" spans="1:22" x14ac:dyDescent="0.2">
      <c r="A32" s="12"/>
      <c r="B32" s="12"/>
      <c r="C32" s="472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  <c r="Q32" s="12"/>
      <c r="R32" s="12"/>
      <c r="S32" s="12"/>
      <c r="T32" s="12"/>
      <c r="U32" s="12"/>
      <c r="V32" s="12"/>
    </row>
    <row r="33" spans="1:22" x14ac:dyDescent="0.2">
      <c r="A33" s="12" t="s">
        <v>54</v>
      </c>
      <c r="B33" s="12"/>
      <c r="C33" s="12"/>
      <c r="D33" s="17">
        <f>+D31-D26</f>
        <v>5633197.3123999992</v>
      </c>
      <c r="E33" s="17">
        <f t="shared" ref="E33:L33" si="15">+E31-E26</f>
        <v>-2540731.95886165</v>
      </c>
      <c r="F33" s="17">
        <f t="shared" si="15"/>
        <v>-474176.68759999983</v>
      </c>
      <c r="G33" s="17">
        <f>+G31-G26</f>
        <v>798309.49759999756</v>
      </c>
      <c r="H33" s="17">
        <f t="shared" si="15"/>
        <v>-503434.74000000022</v>
      </c>
      <c r="I33" s="17">
        <f t="shared" si="15"/>
        <v>-875887.70319999941</v>
      </c>
      <c r="J33" s="17">
        <f t="shared" si="15"/>
        <v>-63725.792000000365</v>
      </c>
      <c r="K33" s="17">
        <f t="shared" si="15"/>
        <v>420022.88799999934</v>
      </c>
      <c r="L33" s="17">
        <f t="shared" si="15"/>
        <v>629522.13718704227</v>
      </c>
      <c r="M33" s="17">
        <f>+M31-M26</f>
        <v>-241563.62146940455</v>
      </c>
      <c r="N33" s="17">
        <f>+N31-N26</f>
        <v>-1313107.4596793316</v>
      </c>
      <c r="O33" s="17">
        <f>+O31-O26</f>
        <v>-1212163.1413363954</v>
      </c>
      <c r="P33" s="17">
        <f>+P31-P26</f>
        <v>256260.73104024678</v>
      </c>
      <c r="Q33" s="12"/>
      <c r="R33" s="12"/>
      <c r="S33" s="12"/>
      <c r="T33" s="12"/>
      <c r="U33" s="12"/>
      <c r="V33" s="12"/>
    </row>
    <row r="34" spans="1:22" x14ac:dyDescent="0.2">
      <c r="A34" s="12"/>
      <c r="B34" s="12"/>
      <c r="C34" s="12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2"/>
      <c r="R34" s="12"/>
      <c r="S34" s="12"/>
      <c r="T34" s="12"/>
      <c r="U34" s="12"/>
      <c r="V34" s="12"/>
    </row>
    <row r="35" spans="1:22" x14ac:dyDescent="0.2">
      <c r="A35" s="1" t="s">
        <v>118</v>
      </c>
      <c r="B35" s="46" t="s">
        <v>56</v>
      </c>
      <c r="C35" s="35">
        <f>'PS INPUTS'!C67</f>
        <v>-15810510.679597981</v>
      </c>
      <c r="D35" s="19">
        <f>+C35+D33</f>
        <v>-10177313.367197983</v>
      </c>
      <c r="E35" s="19">
        <f t="shared" ref="E35:K35" si="16">+D35+E33</f>
        <v>-12718045.326059632</v>
      </c>
      <c r="F35" s="19">
        <f t="shared" si="16"/>
        <v>-13192222.013659632</v>
      </c>
      <c r="G35" s="19">
        <f>+F35+G33</f>
        <v>-12393912.516059633</v>
      </c>
      <c r="H35" s="19">
        <f>+G35+H33</f>
        <v>-12897347.256059634</v>
      </c>
      <c r="I35" s="19">
        <f t="shared" si="16"/>
        <v>-13773234.959259633</v>
      </c>
      <c r="J35" s="19">
        <f t="shared" si="16"/>
        <v>-13836960.751259632</v>
      </c>
      <c r="K35" s="19">
        <f t="shared" si="16"/>
        <v>-13416937.863259632</v>
      </c>
      <c r="L35" s="19">
        <f t="shared" ref="L35" si="17">+K35+L33</f>
        <v>-12787415.726072591</v>
      </c>
      <c r="M35" s="19">
        <f t="shared" ref="M35" si="18">+L35+M33</f>
        <v>-13028979.347541995</v>
      </c>
      <c r="N35" s="19">
        <f t="shared" ref="N35" si="19">+M35+N33</f>
        <v>-14342086.807221327</v>
      </c>
      <c r="O35" s="19">
        <f t="shared" ref="O35" si="20">+N35+O33</f>
        <v>-15554249.948557723</v>
      </c>
      <c r="P35" s="19">
        <f>+O35</f>
        <v>-15554249.948557723</v>
      </c>
      <c r="Q35" s="12"/>
      <c r="R35" s="12"/>
      <c r="S35" s="12"/>
      <c r="T35" s="12"/>
      <c r="U35" s="12"/>
      <c r="V35" s="12"/>
    </row>
    <row r="36" spans="1:22" x14ac:dyDescent="0.2">
      <c r="A36" s="12" t="s">
        <v>27</v>
      </c>
      <c r="B36" s="53" t="s">
        <v>114</v>
      </c>
      <c r="C36" s="35">
        <f>'PS INPUTS'!C68</f>
        <v>-38750.680730518186</v>
      </c>
      <c r="D36" s="26">
        <f>((AVERAGE(C35:D35)*(1-'PS INPUTS'!$C$70)*D37/12))</f>
        <v>-13386.274025204504</v>
      </c>
      <c r="E36" s="26">
        <f>((AVERAGE(D35:E35)*(1-'PS INPUTS'!$C$70)*E37/12))</f>
        <v>-12470.481797586146</v>
      </c>
      <c r="F36" s="26">
        <f>((AVERAGE(E35:F35)*(1-'PS INPUTS'!$C$70)*F37/12))</f>
        <v>-15198.207105348578</v>
      </c>
      <c r="G36" s="26">
        <f>((AVERAGE(F35:G35)*(1-'PS INPUTS'!$C$69)*G37/12))</f>
        <v>-19313.565719085938</v>
      </c>
      <c r="H36" s="26">
        <f>((AVERAGE(G35:H35)*(1-'PS INPUTS'!$C$69)*H37/12))</f>
        <v>-20909.169647703027</v>
      </c>
      <c r="I36" s="26">
        <f>((AVERAGE(H35:I35)*(1-'PS INPUTS'!$C$69)*I37/12))</f>
        <v>-22528.840826646803</v>
      </c>
      <c r="J36" s="26">
        <f>((AVERAGE(I35:J35)*(1-'PS INPUTS'!$C$69)*J37/12))</f>
        <v>-23570.651514347108</v>
      </c>
      <c r="K36" s="26">
        <f>((AVERAGE(J35:K35)*(1-'PS INPUTS'!$C$69)*K37/12))</f>
        <v>-23266.482910348757</v>
      </c>
      <c r="L36" s="26">
        <f>((AVERAGE(K35:L35)*(1-'PS INPUTS'!$C$69)*L37/12))</f>
        <v>-22370.492882002989</v>
      </c>
      <c r="M36" s="26">
        <f>((AVERAGE(L35:M35)*(1-'PS INPUTS'!$C$69)*M37/12))</f>
        <v>-22039.295121875562</v>
      </c>
      <c r="N36" s="26">
        <f>((AVERAGE(M35:N35)*(1-'PS INPUTS'!$C$69)*N37/12))</f>
        <v>-23366.508107157981</v>
      </c>
      <c r="O36" s="26">
        <f>((AVERAGE(N35:O35)*(1-'PS INPUTS'!$C$69)*O37/12))</f>
        <v>-25522.315836303853</v>
      </c>
      <c r="P36" s="477">
        <f>SUM(D36:O36)</f>
        <v>-243942.28549361124</v>
      </c>
      <c r="Q36" s="29"/>
      <c r="R36" s="12"/>
      <c r="S36" s="12"/>
      <c r="T36" s="12"/>
      <c r="U36" s="12"/>
      <c r="V36" s="12"/>
    </row>
    <row r="37" spans="1:22" x14ac:dyDescent="0.2">
      <c r="A37" s="12"/>
      <c r="B37" s="54"/>
      <c r="C37" s="30"/>
      <c r="D37" s="91">
        <f>'PS INPUTS'!C71</f>
        <v>2.0899999999999998E-2</v>
      </c>
      <c r="E37" s="91">
        <f>'PS INPUTS'!D71</f>
        <v>2.2099999999999998E-2</v>
      </c>
      <c r="F37" s="91">
        <f>'PS INPUTS'!E71</f>
        <v>2.3799999999999998E-2</v>
      </c>
      <c r="G37" s="91">
        <f>'PS INPUTS'!F71</f>
        <v>2.52E-2</v>
      </c>
      <c r="H37" s="91">
        <f>'PS INPUTS'!G71</f>
        <v>2.7600000000000003E-2</v>
      </c>
      <c r="I37" s="91">
        <f>'PS INPUTS'!H71</f>
        <v>2.8200000000000003E-2</v>
      </c>
      <c r="J37" s="91">
        <f>'PS INPUTS'!I71</f>
        <v>2.8500000000000001E-2</v>
      </c>
      <c r="K37" s="91">
        <f>'PS INPUTS'!J71</f>
        <v>2.8500000000000001E-2</v>
      </c>
      <c r="L37" s="91">
        <f>'PS INPUTS'!K71</f>
        <v>2.8500000000000001E-2</v>
      </c>
      <c r="M37" s="91">
        <f>'PS INPUTS'!L71</f>
        <v>2.8500000000000001E-2</v>
      </c>
      <c r="N37" s="91">
        <f>'PS INPUTS'!M71</f>
        <v>2.8500000000000001E-2</v>
      </c>
      <c r="O37" s="91">
        <f>'PS INPUTS'!N71</f>
        <v>2.8500000000000001E-2</v>
      </c>
      <c r="P37" s="45"/>
      <c r="Q37" s="12"/>
      <c r="R37" s="12"/>
      <c r="S37" s="12"/>
      <c r="T37" s="12"/>
      <c r="U37" s="12"/>
      <c r="V37" s="12"/>
    </row>
    <row r="38" spans="1:22" x14ac:dyDescent="0.2">
      <c r="A38" s="12"/>
      <c r="B38" s="12"/>
      <c r="C38" s="1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2"/>
      <c r="R38" s="12"/>
      <c r="S38" s="12"/>
      <c r="T38" s="12"/>
      <c r="U38" s="12"/>
      <c r="V38" s="12"/>
    </row>
    <row r="39" spans="1:22" x14ac:dyDescent="0.2">
      <c r="A39" s="1" t="s">
        <v>117</v>
      </c>
      <c r="B39" s="12"/>
      <c r="C39" s="472"/>
      <c r="D39" s="19">
        <f>+C35+D33+D36+C36</f>
        <v>-10229450.321953705</v>
      </c>
      <c r="E39" s="19">
        <f>(D39+E33+E36)-C36</f>
        <v>-12743902.081882423</v>
      </c>
      <c r="F39" s="19">
        <f>E39+F33+F36</f>
        <v>-13233276.976587771</v>
      </c>
      <c r="G39" s="19">
        <f t="shared" ref="G39:O39" si="21">F39+G33+G36</f>
        <v>-12454281.044706859</v>
      </c>
      <c r="H39" s="19">
        <f t="shared" si="21"/>
        <v>-12978624.954354562</v>
      </c>
      <c r="I39" s="19">
        <f t="shared" si="21"/>
        <v>-13877041.498381209</v>
      </c>
      <c r="J39" s="19">
        <f t="shared" si="21"/>
        <v>-13964337.941895556</v>
      </c>
      <c r="K39" s="19">
        <f t="shared" si="21"/>
        <v>-13567581.536805904</v>
      </c>
      <c r="L39" s="19">
        <f t="shared" si="21"/>
        <v>-12960429.892500862</v>
      </c>
      <c r="M39" s="19">
        <f t="shared" si="21"/>
        <v>-13224032.809092142</v>
      </c>
      <c r="N39" s="19">
        <f t="shared" si="21"/>
        <v>-14560506.776878631</v>
      </c>
      <c r="O39" s="19">
        <f t="shared" si="21"/>
        <v>-15798192.234051328</v>
      </c>
      <c r="P39" s="19">
        <f>+P35+P36</f>
        <v>-15798192.234051334</v>
      </c>
      <c r="Q39" s="22"/>
      <c r="R39" s="12"/>
      <c r="S39" s="12"/>
      <c r="T39" s="12"/>
      <c r="U39" s="12"/>
      <c r="V39" s="12"/>
    </row>
    <row r="40" spans="1:22" x14ac:dyDescent="0.2">
      <c r="A40" s="12"/>
      <c r="B40" s="12"/>
      <c r="C40" s="472"/>
      <c r="D40" s="22"/>
      <c r="E40" s="22"/>
      <c r="F40" s="22"/>
      <c r="G40" s="22"/>
      <c r="H40" s="22"/>
      <c r="I40" s="22"/>
      <c r="J40" s="22"/>
      <c r="K40" s="52"/>
      <c r="L40" s="52"/>
      <c r="M40" s="52"/>
      <c r="N40" s="52"/>
      <c r="O40" s="52"/>
      <c r="P40" s="52"/>
      <c r="Q40" s="12"/>
      <c r="R40" s="12"/>
      <c r="S40" s="12"/>
      <c r="T40" s="12"/>
      <c r="U40" s="12"/>
      <c r="V40" s="12"/>
    </row>
    <row r="41" spans="1:22" x14ac:dyDescent="0.2">
      <c r="A41" s="50" t="s">
        <v>2</v>
      </c>
      <c r="B41" s="50"/>
      <c r="C41" s="472"/>
      <c r="D41" s="22"/>
      <c r="E41" s="22"/>
      <c r="F41" s="22"/>
      <c r="G41" s="22"/>
      <c r="H41" s="22"/>
      <c r="I41" s="22"/>
      <c r="J41" s="22"/>
      <c r="K41" s="52"/>
      <c r="L41" s="52"/>
      <c r="M41" s="52"/>
      <c r="N41" s="52"/>
      <c r="O41" s="52"/>
      <c r="P41" s="52"/>
      <c r="Q41" s="12"/>
      <c r="R41" s="12"/>
      <c r="S41" s="12"/>
      <c r="T41" s="12"/>
      <c r="U41" s="12"/>
      <c r="V41" s="12"/>
    </row>
    <row r="42" spans="1:22" x14ac:dyDescent="0.2">
      <c r="A42" s="1" t="s">
        <v>131</v>
      </c>
      <c r="B42" s="12"/>
      <c r="C42" s="472"/>
      <c r="D42" s="415">
        <v>0</v>
      </c>
      <c r="E42" s="415">
        <v>0</v>
      </c>
      <c r="F42" s="415">
        <v>0</v>
      </c>
      <c r="G42" s="415">
        <v>4627409.21</v>
      </c>
      <c r="H42" s="415">
        <v>2039290.2</v>
      </c>
      <c r="I42" s="415">
        <v>1287388.97</v>
      </c>
      <c r="J42" s="415">
        <v>1072701</v>
      </c>
      <c r="K42" s="415">
        <f>'$ Transfer from State'!D16</f>
        <v>1081226.95</v>
      </c>
      <c r="L42" s="415">
        <f>'$ Transfer from State'!E16</f>
        <v>982939.81153820746</v>
      </c>
      <c r="M42" s="415">
        <f>'$ Transfer from State'!F16</f>
        <v>1176876.0753123411</v>
      </c>
      <c r="N42" s="415">
        <f>'$ Transfer from State'!G16</f>
        <v>1415441.8036433309</v>
      </c>
      <c r="O42" s="415">
        <f>'$ Transfer from State'!H16</f>
        <v>1392967.8236085169</v>
      </c>
      <c r="P42" s="102">
        <f>SUM(D42:N42)</f>
        <v>13683274.020493878</v>
      </c>
      <c r="Q42" s="12"/>
      <c r="R42" s="12"/>
      <c r="S42" s="12"/>
      <c r="T42" s="12"/>
      <c r="U42" s="12"/>
      <c r="V42" s="12"/>
    </row>
    <row r="43" spans="1:22" x14ac:dyDescent="0.2">
      <c r="A43" s="12"/>
      <c r="B43" s="12"/>
      <c r="C43" s="472"/>
      <c r="D43" s="416"/>
      <c r="E43" s="416"/>
      <c r="F43" s="416"/>
      <c r="G43" s="416"/>
      <c r="H43" s="416"/>
      <c r="I43" s="416"/>
      <c r="J43" s="416"/>
      <c r="K43" s="417"/>
      <c r="L43" s="417"/>
      <c r="M43" s="417"/>
      <c r="N43" s="417"/>
      <c r="O43" s="417"/>
      <c r="P43" s="103"/>
      <c r="Q43" s="12"/>
      <c r="R43" s="12"/>
      <c r="S43" s="12"/>
      <c r="T43" s="12"/>
      <c r="U43" s="12"/>
      <c r="V43" s="12"/>
    </row>
    <row r="44" spans="1:22" x14ac:dyDescent="0.2">
      <c r="A44" s="12" t="s">
        <v>26</v>
      </c>
      <c r="B44" s="12"/>
      <c r="C44" s="472"/>
      <c r="D44" s="418">
        <v>1171270.29</v>
      </c>
      <c r="E44" s="418">
        <v>1108639.6200000001</v>
      </c>
      <c r="F44" s="418">
        <v>1018009.41</v>
      </c>
      <c r="G44" s="418">
        <v>1157761.8400000001</v>
      </c>
      <c r="H44" s="418">
        <v>947856.43</v>
      </c>
      <c r="I44" s="418">
        <v>1146450.8500000001</v>
      </c>
      <c r="J44" s="418">
        <v>1090357.27</v>
      </c>
      <c r="K44" s="418">
        <v>1090357.27</v>
      </c>
      <c r="L44" s="418">
        <v>1090357.27</v>
      </c>
      <c r="M44" s="418">
        <v>1090357.27</v>
      </c>
      <c r="N44" s="418">
        <v>1090357.27</v>
      </c>
      <c r="O44" s="418">
        <v>1090357.27</v>
      </c>
      <c r="P44" s="103">
        <f>SUM(D44:O44)</f>
        <v>13092132.059999997</v>
      </c>
      <c r="Q44" s="12"/>
      <c r="R44" s="12"/>
      <c r="S44" s="12"/>
      <c r="T44" s="12"/>
      <c r="U44" s="12"/>
      <c r="V44" s="12"/>
    </row>
    <row r="45" spans="1:22" x14ac:dyDescent="0.2">
      <c r="A45" s="12" t="s">
        <v>55</v>
      </c>
      <c r="B45" s="12"/>
      <c r="C45" s="472"/>
      <c r="D45" s="418">
        <v>28649.200000000001</v>
      </c>
      <c r="E45" s="418">
        <v>30370.03</v>
      </c>
      <c r="F45" s="418">
        <v>28630.23</v>
      </c>
      <c r="G45" s="418">
        <v>31839.58</v>
      </c>
      <c r="H45" s="418">
        <v>21863.32</v>
      </c>
      <c r="I45" s="418">
        <v>28096.35</v>
      </c>
      <c r="J45" s="418">
        <v>32737.71</v>
      </c>
      <c r="K45" s="418">
        <v>32737.71</v>
      </c>
      <c r="L45" s="418">
        <v>32737.71</v>
      </c>
      <c r="M45" s="418">
        <v>32737.71</v>
      </c>
      <c r="N45" s="418">
        <v>32737.71</v>
      </c>
      <c r="O45" s="418">
        <v>32737.71</v>
      </c>
      <c r="P45" s="103">
        <f>SUM(D45:O45)</f>
        <v>365874.97000000003</v>
      </c>
      <c r="Q45" s="12"/>
      <c r="R45" s="12"/>
      <c r="S45" s="12"/>
      <c r="T45" s="12"/>
      <c r="U45" s="12"/>
      <c r="V45" s="12"/>
    </row>
    <row r="46" spans="1:22" x14ac:dyDescent="0.2">
      <c r="A46" s="12" t="s">
        <v>138</v>
      </c>
      <c r="B46" s="12"/>
      <c r="C46" s="14"/>
      <c r="D46" s="418">
        <v>0</v>
      </c>
      <c r="E46" s="418">
        <v>0</v>
      </c>
      <c r="F46" s="418">
        <v>0</v>
      </c>
      <c r="G46" s="418">
        <v>0</v>
      </c>
      <c r="H46" s="418">
        <v>0</v>
      </c>
      <c r="I46" s="418">
        <v>0</v>
      </c>
      <c r="J46" s="418">
        <v>0</v>
      </c>
      <c r="K46" s="418">
        <v>0</v>
      </c>
      <c r="L46" s="418">
        <v>0</v>
      </c>
      <c r="M46" s="418">
        <v>0</v>
      </c>
      <c r="N46" s="418">
        <v>0</v>
      </c>
      <c r="O46" s="418">
        <v>0</v>
      </c>
      <c r="P46" s="159">
        <f>SUM(D46:O46)</f>
        <v>0</v>
      </c>
      <c r="Q46" s="12"/>
      <c r="R46" s="12"/>
      <c r="S46" s="12"/>
      <c r="T46" s="12"/>
      <c r="U46" s="12"/>
      <c r="V46" s="12"/>
    </row>
    <row r="47" spans="1:22" x14ac:dyDescent="0.2">
      <c r="A47" s="12" t="s">
        <v>29</v>
      </c>
      <c r="B47" s="12"/>
      <c r="C47" s="472"/>
      <c r="D47" s="17">
        <f t="shared" ref="D47:I47" si="22">SUM(D44:D46)</f>
        <v>1199919.49</v>
      </c>
      <c r="E47" s="17">
        <f t="shared" si="22"/>
        <v>1139009.6500000001</v>
      </c>
      <c r="F47" s="17">
        <f t="shared" si="22"/>
        <v>1046639.64</v>
      </c>
      <c r="G47" s="17">
        <f t="shared" si="22"/>
        <v>1189601.4200000002</v>
      </c>
      <c r="H47" s="17">
        <f t="shared" si="22"/>
        <v>969719.75</v>
      </c>
      <c r="I47" s="17">
        <f t="shared" si="22"/>
        <v>1174547.2000000002</v>
      </c>
      <c r="J47" s="17">
        <f t="shared" ref="J47:O47" si="23">SUM(J44:J46)</f>
        <v>1123094.98</v>
      </c>
      <c r="K47" s="17">
        <f t="shared" si="23"/>
        <v>1123094.98</v>
      </c>
      <c r="L47" s="17">
        <f t="shared" si="23"/>
        <v>1123094.98</v>
      </c>
      <c r="M47" s="17">
        <f t="shared" si="23"/>
        <v>1123094.98</v>
      </c>
      <c r="N47" s="17">
        <f t="shared" si="23"/>
        <v>1123094.98</v>
      </c>
      <c r="O47" s="17">
        <f t="shared" si="23"/>
        <v>1123094.98</v>
      </c>
      <c r="P47" s="27">
        <f>SUM(D47:O47)</f>
        <v>13458007.030000003</v>
      </c>
      <c r="Q47" s="12"/>
      <c r="R47" s="12"/>
      <c r="S47" s="12"/>
      <c r="T47" s="12"/>
      <c r="U47" s="12"/>
      <c r="V47" s="12"/>
    </row>
    <row r="48" spans="1:22" x14ac:dyDescent="0.2">
      <c r="A48" s="12"/>
      <c r="B48" s="12"/>
      <c r="C48" s="12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9"/>
      <c r="Q48" s="12"/>
      <c r="R48" s="12"/>
      <c r="S48" s="12"/>
      <c r="T48" s="12"/>
      <c r="U48" s="12"/>
      <c r="V48" s="12"/>
    </row>
    <row r="49" spans="1:22" x14ac:dyDescent="0.2">
      <c r="A49" s="12" t="s">
        <v>54</v>
      </c>
      <c r="B49" s="12"/>
      <c r="C49" s="12"/>
      <c r="D49" s="17">
        <f t="shared" ref="D49:O49" si="24">+D47-D42</f>
        <v>1199919.49</v>
      </c>
      <c r="E49" s="17">
        <f t="shared" si="24"/>
        <v>1139009.6500000001</v>
      </c>
      <c r="F49" s="17">
        <f t="shared" si="24"/>
        <v>1046639.64</v>
      </c>
      <c r="G49" s="17">
        <f t="shared" si="24"/>
        <v>-3437807.79</v>
      </c>
      <c r="H49" s="17">
        <f t="shared" si="24"/>
        <v>-1069570.45</v>
      </c>
      <c r="I49" s="17">
        <f t="shared" si="24"/>
        <v>-112841.76999999979</v>
      </c>
      <c r="J49" s="17">
        <f t="shared" si="24"/>
        <v>50393.979999999981</v>
      </c>
      <c r="K49" s="17">
        <f t="shared" si="24"/>
        <v>41868.030000000028</v>
      </c>
      <c r="L49" s="17">
        <f t="shared" si="24"/>
        <v>140155.16846179252</v>
      </c>
      <c r="M49" s="17">
        <f t="shared" si="24"/>
        <v>-53781.095312341116</v>
      </c>
      <c r="N49" s="17">
        <f t="shared" si="24"/>
        <v>-292346.82364333095</v>
      </c>
      <c r="O49" s="17">
        <f t="shared" si="24"/>
        <v>-269872.84360851697</v>
      </c>
      <c r="P49" s="17">
        <f t="shared" ref="P49" si="25">+P47-P42</f>
        <v>-225266.990493875</v>
      </c>
      <c r="Q49" s="12"/>
      <c r="R49" s="12"/>
      <c r="S49" s="12"/>
      <c r="T49" s="12"/>
      <c r="U49" s="12"/>
      <c r="V49" s="12"/>
    </row>
    <row r="50" spans="1:22" x14ac:dyDescent="0.2">
      <c r="A50" s="12"/>
      <c r="B50" s="12"/>
      <c r="C50" s="12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2"/>
      <c r="R50" s="12"/>
      <c r="S50" s="12"/>
      <c r="T50" s="12"/>
      <c r="U50" s="12"/>
      <c r="V50" s="12"/>
    </row>
    <row r="51" spans="1:22" x14ac:dyDescent="0.2">
      <c r="A51" s="1" t="s">
        <v>118</v>
      </c>
      <c r="B51" s="53" t="s">
        <v>127</v>
      </c>
      <c r="C51" s="104">
        <v>-4005437.5700000008</v>
      </c>
      <c r="D51" s="19">
        <f t="shared" ref="D51:I51" si="26">+C51+D49</f>
        <v>-2805518.080000001</v>
      </c>
      <c r="E51" s="19">
        <f t="shared" si="26"/>
        <v>-1666508.4300000009</v>
      </c>
      <c r="F51" s="19">
        <f t="shared" si="26"/>
        <v>-619868.79000000085</v>
      </c>
      <c r="G51" s="19">
        <f t="shared" si="26"/>
        <v>-4057676.580000001</v>
      </c>
      <c r="H51" s="19">
        <f t="shared" si="26"/>
        <v>-5127247.0300000012</v>
      </c>
      <c r="I51" s="19">
        <f t="shared" si="26"/>
        <v>-5240088.8000000007</v>
      </c>
      <c r="J51" s="19">
        <f t="shared" ref="J51:O51" si="27">+I51+J49</f>
        <v>-5189694.82</v>
      </c>
      <c r="K51" s="19">
        <f t="shared" si="27"/>
        <v>-5147826.79</v>
      </c>
      <c r="L51" s="19">
        <f t="shared" si="27"/>
        <v>-5007671.6215382079</v>
      </c>
      <c r="M51" s="19">
        <f t="shared" si="27"/>
        <v>-5061452.716850549</v>
      </c>
      <c r="N51" s="19">
        <f t="shared" si="27"/>
        <v>-5353799.5404938795</v>
      </c>
      <c r="O51" s="19">
        <f t="shared" si="27"/>
        <v>-5623672.3841023967</v>
      </c>
      <c r="P51" s="19">
        <f>+O51</f>
        <v>-5623672.3841023967</v>
      </c>
      <c r="Q51" s="12"/>
      <c r="R51" s="12"/>
      <c r="S51" s="12"/>
      <c r="T51" s="12"/>
      <c r="U51" s="12"/>
      <c r="V51" s="12"/>
    </row>
    <row r="52" spans="1:22" x14ac:dyDescent="0.2">
      <c r="A52" s="12" t="s">
        <v>27</v>
      </c>
      <c r="B52" s="53" t="s">
        <v>114</v>
      </c>
      <c r="C52" s="104">
        <v>-35195.255741177731</v>
      </c>
      <c r="D52" s="26">
        <f>((AVERAGE(C51:D51)*(1-'PS INPUTS'!$C$70)*D53/12))</f>
        <v>-3508.3090658240635</v>
      </c>
      <c r="E52" s="26">
        <f>((AVERAGE(D51:E51)*(1-'PS INPUTS'!$C$70)*E53/12))</f>
        <v>-2435.791722612355</v>
      </c>
      <c r="F52" s="26">
        <f>((AVERAGE(E51:F51)*(1-'PS INPUTS'!$C$70)*F53/12))</f>
        <v>-1341.122191249751</v>
      </c>
      <c r="G52" s="26">
        <f>((AVERAGE(F51:G51)*(1-'PS INPUTS'!$C$69)*G53/12))</f>
        <v>-3530.8217348176513</v>
      </c>
      <c r="H52" s="26">
        <f>((AVERAGE(G51:H51)*(1-'PS INPUTS'!$C$69)*H53/12))</f>
        <v>-7593.4978207133536</v>
      </c>
      <c r="I52" s="26">
        <f>((AVERAGE(H51:I51)*(1-'PS INPUTS'!$C$69)*I53/12))</f>
        <v>-8757.3663306197286</v>
      </c>
      <c r="J52" s="26">
        <f>((AVERAGE(I51:J51)*(1-'PS INPUTS'!$C$69)*J53/12))</f>
        <v>-8903.8410902463766</v>
      </c>
      <c r="K52" s="26">
        <f>((AVERAGE(J51:K51)*(1-'PS INPUTS'!$C$69)*K53/12))</f>
        <v>-8825.0775889469369</v>
      </c>
      <c r="L52" s="26">
        <f>((AVERAGE(K51:L51)*(1-'PS INPUTS'!$C$69)*L53/12))</f>
        <v>-8669.6855220650959</v>
      </c>
      <c r="M52" s="26">
        <f>((AVERAGE(L51:M51)*(1-'PS INPUTS'!$C$69)*M53/12))</f>
        <v>-8595.9485156553656</v>
      </c>
      <c r="N52" s="26">
        <f>((AVERAGE(M51:N51)*(1-'PS INPUTS'!$C$69)*N53/12))</f>
        <v>-8891.435756768331</v>
      </c>
      <c r="O52" s="26">
        <f>((AVERAGE(N51:O51)*(1-'PS INPUTS'!$C$69)*O53/12))</f>
        <v>-9371.3991728283127</v>
      </c>
      <c r="P52" s="26">
        <f>SUM(D52:O52)</f>
        <v>-80424.296512347326</v>
      </c>
      <c r="Q52" s="12"/>
      <c r="R52" s="12"/>
      <c r="S52" s="12"/>
      <c r="T52" s="12"/>
      <c r="U52" s="12"/>
      <c r="V52" s="12"/>
    </row>
    <row r="53" spans="1:22" x14ac:dyDescent="0.2">
      <c r="A53" s="12"/>
      <c r="B53" s="54"/>
      <c r="C53" s="30"/>
      <c r="D53" s="215">
        <f>D37</f>
        <v>2.0899999999999998E-2</v>
      </c>
      <c r="E53" s="215">
        <f t="shared" ref="E53:O53" si="28">E37</f>
        <v>2.2099999999999998E-2</v>
      </c>
      <c r="F53" s="215">
        <f t="shared" si="28"/>
        <v>2.3799999999999998E-2</v>
      </c>
      <c r="G53" s="215">
        <f t="shared" si="28"/>
        <v>2.52E-2</v>
      </c>
      <c r="H53" s="215">
        <f t="shared" si="28"/>
        <v>2.7600000000000003E-2</v>
      </c>
      <c r="I53" s="215">
        <f t="shared" si="28"/>
        <v>2.8200000000000003E-2</v>
      </c>
      <c r="J53" s="215">
        <f t="shared" si="28"/>
        <v>2.8500000000000001E-2</v>
      </c>
      <c r="K53" s="215">
        <f t="shared" si="28"/>
        <v>2.8500000000000001E-2</v>
      </c>
      <c r="L53" s="215">
        <f t="shared" si="28"/>
        <v>2.8500000000000001E-2</v>
      </c>
      <c r="M53" s="215">
        <f t="shared" si="28"/>
        <v>2.8500000000000001E-2</v>
      </c>
      <c r="N53" s="215">
        <f t="shared" si="28"/>
        <v>2.8500000000000001E-2</v>
      </c>
      <c r="O53" s="215">
        <f t="shared" si="28"/>
        <v>2.8500000000000001E-2</v>
      </c>
      <c r="P53" s="45"/>
      <c r="Q53" s="12"/>
      <c r="R53" s="12"/>
      <c r="S53" s="12"/>
      <c r="T53" s="12"/>
      <c r="U53" s="12"/>
      <c r="V53" s="12"/>
    </row>
    <row r="54" spans="1:22" x14ac:dyDescent="0.2">
      <c r="A54" s="12"/>
      <c r="B54" s="12"/>
      <c r="C54" s="12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2"/>
      <c r="R54" s="12"/>
      <c r="S54" s="12"/>
      <c r="T54" s="12"/>
      <c r="U54" s="12"/>
      <c r="V54" s="12"/>
    </row>
    <row r="55" spans="1:22" x14ac:dyDescent="0.2">
      <c r="A55" s="1" t="s">
        <v>117</v>
      </c>
      <c r="B55" s="12"/>
      <c r="C55" s="12"/>
      <c r="D55" s="19">
        <f>+C51+D49+D52+C52</f>
        <v>-2844221.6448070025</v>
      </c>
      <c r="E55" s="19">
        <f>(D55+E49+E52)</f>
        <v>-1707647.7865296148</v>
      </c>
      <c r="F55" s="19">
        <f>E55+F49+F52</f>
        <v>-662349.26872086455</v>
      </c>
      <c r="G55" s="19">
        <f>F55+G49+G52</f>
        <v>-4103687.8804556821</v>
      </c>
      <c r="H55" s="19">
        <f>G55+H49+H52</f>
        <v>-5180851.8282763958</v>
      </c>
      <c r="I55" s="19">
        <f>H55+I49+I52</f>
        <v>-5302450.9646070153</v>
      </c>
      <c r="J55" s="19">
        <f t="shared" ref="J55:O55" si="29">+I55+J49+J52</f>
        <v>-5260960.8256972609</v>
      </c>
      <c r="K55" s="19">
        <f>+J55+K49+K52</f>
        <v>-5227917.8732862072</v>
      </c>
      <c r="L55" s="19">
        <f t="shared" si="29"/>
        <v>-5096432.3903464805</v>
      </c>
      <c r="M55" s="19">
        <f t="shared" si="29"/>
        <v>-5158809.4341744771</v>
      </c>
      <c r="N55" s="19">
        <f t="shared" si="29"/>
        <v>-5460047.6935745766</v>
      </c>
      <c r="O55" s="19">
        <f t="shared" si="29"/>
        <v>-5739291.9363559224</v>
      </c>
      <c r="P55" s="19">
        <f>+P51+P52+C52</f>
        <v>-5739291.9363559224</v>
      </c>
      <c r="Q55" s="22"/>
      <c r="R55" s="12"/>
      <c r="S55" s="12"/>
      <c r="T55" s="12"/>
      <c r="U55" s="12"/>
      <c r="V55" s="12"/>
    </row>
    <row r="56" spans="1:22" x14ac:dyDescent="0.2">
      <c r="A56" s="12"/>
      <c r="B56" s="12"/>
      <c r="C56" s="12"/>
      <c r="D56" s="22"/>
      <c r="E56" s="22"/>
      <c r="F56" s="22"/>
      <c r="G56" s="22"/>
      <c r="H56" s="22"/>
      <c r="I56" s="22"/>
      <c r="J56" s="22"/>
      <c r="K56" s="52"/>
      <c r="L56" s="52"/>
      <c r="M56" s="52"/>
      <c r="N56" s="52"/>
      <c r="O56" s="52"/>
      <c r="P56" s="52"/>
      <c r="Q56" s="12"/>
      <c r="R56" s="12"/>
      <c r="S56" s="12"/>
      <c r="T56" s="12"/>
      <c r="U56" s="12"/>
      <c r="V56" s="12"/>
    </row>
    <row r="57" spans="1:22" x14ac:dyDescent="0.2">
      <c r="A57" s="50" t="s">
        <v>86</v>
      </c>
      <c r="B57" s="50"/>
      <c r="C57" s="12"/>
      <c r="D57" s="22"/>
      <c r="E57" s="22"/>
      <c r="F57" s="22"/>
      <c r="G57" s="22"/>
      <c r="H57" s="22"/>
      <c r="I57" s="22"/>
      <c r="J57" s="22"/>
      <c r="K57" s="52"/>
      <c r="L57" s="52"/>
      <c r="M57" s="52"/>
      <c r="N57" s="52"/>
      <c r="O57" s="52"/>
      <c r="P57" s="52"/>
      <c r="Q57" s="12"/>
      <c r="R57" s="12"/>
      <c r="S57" s="12"/>
      <c r="T57" s="12"/>
      <c r="U57" s="12"/>
      <c r="V57" s="12"/>
    </row>
    <row r="58" spans="1:22" x14ac:dyDescent="0.2">
      <c r="A58" s="1" t="s">
        <v>131</v>
      </c>
      <c r="B58" s="12"/>
      <c r="C58" s="12"/>
      <c r="D58" s="419">
        <v>0</v>
      </c>
      <c r="E58" s="419">
        <v>2410466.84</v>
      </c>
      <c r="F58" s="419">
        <v>1898321.28</v>
      </c>
      <c r="G58" s="419">
        <v>1538841.8</v>
      </c>
      <c r="H58" s="419">
        <v>1783338.21</v>
      </c>
      <c r="I58" s="419">
        <v>1922035.82</v>
      </c>
      <c r="J58" s="419">
        <v>2000471.05</v>
      </c>
      <c r="K58" s="102">
        <f>'$ Transfer from State'!D17</f>
        <v>1747423.33</v>
      </c>
      <c r="L58" s="102">
        <f>'$ Transfer from State'!E17</f>
        <v>1746530.3243399817</v>
      </c>
      <c r="M58" s="102">
        <f>'$ Transfer from State'!F17</f>
        <v>2091124.7356098478</v>
      </c>
      <c r="N58" s="102">
        <f>'$ Transfer from State'!G17</f>
        <v>2515018.725849485</v>
      </c>
      <c r="O58" s="102">
        <f>'$ Transfer from State'!H17</f>
        <v>2475085.9780060649</v>
      </c>
      <c r="P58" s="27">
        <f>SUM(D58:O58)</f>
        <v>22128658.09380538</v>
      </c>
      <c r="Q58" s="12"/>
      <c r="R58" s="12"/>
      <c r="S58" s="12"/>
      <c r="T58" s="12"/>
      <c r="U58" s="12"/>
      <c r="V58" s="12"/>
    </row>
    <row r="59" spans="1:22" x14ac:dyDescent="0.2">
      <c r="A59" s="12"/>
      <c r="B59" s="12"/>
      <c r="C59" s="22"/>
      <c r="D59" s="420"/>
      <c r="E59" s="420"/>
      <c r="F59" s="420"/>
      <c r="G59" s="420"/>
      <c r="H59" s="420"/>
      <c r="I59" s="420"/>
      <c r="J59" s="420"/>
      <c r="K59" s="103"/>
      <c r="L59" s="103"/>
      <c r="M59" s="103"/>
      <c r="N59" s="19"/>
      <c r="O59" s="19"/>
      <c r="P59" s="19"/>
      <c r="Q59" s="12"/>
      <c r="R59" s="12"/>
      <c r="S59" s="12"/>
      <c r="T59" s="12"/>
      <c r="U59" s="12"/>
      <c r="V59" s="12"/>
    </row>
    <row r="60" spans="1:22" x14ac:dyDescent="0.2">
      <c r="A60" s="12" t="s">
        <v>26</v>
      </c>
      <c r="B60" s="12"/>
      <c r="C60" s="12"/>
      <c r="D60" s="420">
        <v>1825226.14</v>
      </c>
      <c r="E60" s="420">
        <v>1710692.18</v>
      </c>
      <c r="F60" s="420">
        <v>1705143.25</v>
      </c>
      <c r="G60" s="420">
        <v>1711164.78</v>
      </c>
      <c r="H60" s="420">
        <v>1755881.7</v>
      </c>
      <c r="I60" s="420">
        <v>1830284.11</v>
      </c>
      <c r="J60" s="420">
        <v>1923462.36</v>
      </c>
      <c r="K60" s="420">
        <f t="shared" ref="K60:O61" si="30">J60</f>
        <v>1923462.36</v>
      </c>
      <c r="L60" s="420">
        <f t="shared" si="30"/>
        <v>1923462.36</v>
      </c>
      <c r="M60" s="420">
        <f t="shared" si="30"/>
        <v>1923462.36</v>
      </c>
      <c r="N60" s="420">
        <f t="shared" si="30"/>
        <v>1923462.36</v>
      </c>
      <c r="O60" s="420">
        <f t="shared" si="30"/>
        <v>1923462.36</v>
      </c>
      <c r="P60" s="19">
        <f>SUM(D60:O60)</f>
        <v>22079166.319999997</v>
      </c>
      <c r="Q60" s="12"/>
      <c r="R60" s="12"/>
      <c r="S60" s="12"/>
      <c r="T60" s="12"/>
      <c r="U60" s="12"/>
      <c r="V60" s="12"/>
    </row>
    <row r="61" spans="1:22" x14ac:dyDescent="0.2">
      <c r="A61" s="12" t="s">
        <v>55</v>
      </c>
      <c r="B61" s="12"/>
      <c r="C61" s="12"/>
      <c r="D61" s="420">
        <v>87049.07</v>
      </c>
      <c r="E61" s="420">
        <v>56259.44</v>
      </c>
      <c r="F61" s="420">
        <v>77029.06</v>
      </c>
      <c r="G61" s="420">
        <v>64876.95</v>
      </c>
      <c r="H61" s="420">
        <v>52540.09</v>
      </c>
      <c r="I61" s="420">
        <v>67958.600000000006</v>
      </c>
      <c r="J61" s="420">
        <v>72101.78</v>
      </c>
      <c r="K61" s="420">
        <f t="shared" si="30"/>
        <v>72101.78</v>
      </c>
      <c r="L61" s="420">
        <f t="shared" si="30"/>
        <v>72101.78</v>
      </c>
      <c r="M61" s="420">
        <f t="shared" si="30"/>
        <v>72101.78</v>
      </c>
      <c r="N61" s="420">
        <f t="shared" si="30"/>
        <v>72101.78</v>
      </c>
      <c r="O61" s="420">
        <f t="shared" si="30"/>
        <v>72101.78</v>
      </c>
      <c r="P61" s="19">
        <f>SUM(D61:O61)</f>
        <v>838323.89000000013</v>
      </c>
      <c r="Q61" s="12"/>
      <c r="R61" s="12"/>
      <c r="S61" s="12"/>
      <c r="T61" s="12"/>
      <c r="U61" s="12"/>
      <c r="V61" s="12"/>
    </row>
    <row r="62" spans="1:22" x14ac:dyDescent="0.2">
      <c r="A62" s="12" t="s">
        <v>140</v>
      </c>
      <c r="B62" s="12"/>
      <c r="C62" s="12"/>
      <c r="D62" s="421">
        <v>0</v>
      </c>
      <c r="E62" s="421">
        <v>0</v>
      </c>
      <c r="F62" s="421">
        <v>0</v>
      </c>
      <c r="G62" s="421">
        <v>0</v>
      </c>
      <c r="H62" s="421">
        <v>0</v>
      </c>
      <c r="I62" s="421">
        <v>0</v>
      </c>
      <c r="J62" s="421">
        <v>0</v>
      </c>
      <c r="K62" s="421">
        <v>0</v>
      </c>
      <c r="L62" s="421">
        <v>0</v>
      </c>
      <c r="M62" s="421">
        <v>0</v>
      </c>
      <c r="N62" s="421">
        <v>0</v>
      </c>
      <c r="O62" s="421">
        <v>0</v>
      </c>
      <c r="P62" s="19">
        <f>SUM(D62:O62)</f>
        <v>0</v>
      </c>
      <c r="Q62" s="12"/>
      <c r="R62" s="12"/>
      <c r="S62" s="12"/>
      <c r="T62" s="12"/>
      <c r="U62" s="12"/>
      <c r="V62" s="12"/>
    </row>
    <row r="63" spans="1:22" x14ac:dyDescent="0.2">
      <c r="A63" s="12" t="s">
        <v>29</v>
      </c>
      <c r="B63" s="12"/>
      <c r="C63" s="12"/>
      <c r="D63" s="17">
        <f t="shared" ref="D63:O63" si="31">SUM(D60:D62)</f>
        <v>1912275.21</v>
      </c>
      <c r="E63" s="17">
        <f t="shared" si="31"/>
        <v>1766951.6199999999</v>
      </c>
      <c r="F63" s="17">
        <f t="shared" si="31"/>
        <v>1782172.31</v>
      </c>
      <c r="G63" s="17">
        <f t="shared" si="31"/>
        <v>1776041.73</v>
      </c>
      <c r="H63" s="17">
        <f t="shared" si="31"/>
        <v>1808421.79</v>
      </c>
      <c r="I63" s="17">
        <f t="shared" si="31"/>
        <v>1898242.7100000002</v>
      </c>
      <c r="J63" s="17">
        <f t="shared" si="31"/>
        <v>1995564.1400000001</v>
      </c>
      <c r="K63" s="17">
        <f t="shared" si="31"/>
        <v>1995564.1400000001</v>
      </c>
      <c r="L63" s="17">
        <f t="shared" si="31"/>
        <v>1995564.1400000001</v>
      </c>
      <c r="M63" s="17">
        <f t="shared" si="31"/>
        <v>1995564.1400000001</v>
      </c>
      <c r="N63" s="17">
        <f t="shared" si="31"/>
        <v>1995564.1400000001</v>
      </c>
      <c r="O63" s="17">
        <f t="shared" si="31"/>
        <v>1995564.1400000001</v>
      </c>
      <c r="P63" s="27">
        <f>SUM(D63:O63)</f>
        <v>22917490.210000005</v>
      </c>
      <c r="Q63" s="12"/>
      <c r="R63" s="12"/>
      <c r="S63" s="12"/>
      <c r="T63" s="12"/>
      <c r="U63" s="12"/>
      <c r="V63" s="12"/>
    </row>
    <row r="64" spans="1:22" x14ac:dyDescent="0.2">
      <c r="A64" s="12"/>
      <c r="B64" s="12"/>
      <c r="C64" s="12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  <c r="Q64" s="12"/>
      <c r="R64" s="12"/>
      <c r="S64" s="12"/>
      <c r="T64" s="12"/>
      <c r="U64" s="12"/>
      <c r="V64" s="12"/>
    </row>
    <row r="65" spans="1:22" x14ac:dyDescent="0.2">
      <c r="A65" s="12" t="s">
        <v>54</v>
      </c>
      <c r="B65" s="12"/>
      <c r="C65" s="12"/>
      <c r="D65" s="17">
        <f t="shared" ref="D65:L65" si="32">+D63-D58</f>
        <v>1912275.21</v>
      </c>
      <c r="E65" s="17">
        <f t="shared" si="32"/>
        <v>-643515.22</v>
      </c>
      <c r="F65" s="17">
        <f t="shared" si="32"/>
        <v>-116148.96999999997</v>
      </c>
      <c r="G65" s="17">
        <f t="shared" si="32"/>
        <v>237199.92999999993</v>
      </c>
      <c r="H65" s="17">
        <f t="shared" si="32"/>
        <v>25083.580000000075</v>
      </c>
      <c r="I65" s="17">
        <f t="shared" si="32"/>
        <v>-23793.10999999987</v>
      </c>
      <c r="J65" s="17">
        <f t="shared" si="32"/>
        <v>-4906.9099999999162</v>
      </c>
      <c r="K65" s="17">
        <f t="shared" si="32"/>
        <v>248140.81000000006</v>
      </c>
      <c r="L65" s="17">
        <f t="shared" si="32"/>
        <v>249033.81566001847</v>
      </c>
      <c r="M65" s="17">
        <f>+M63-M58</f>
        <v>-95560.595609847689</v>
      </c>
      <c r="N65" s="17">
        <f>+N63-N58</f>
        <v>-519454.58584948489</v>
      </c>
      <c r="O65" s="17">
        <f>+O63-O58</f>
        <v>-479521.83800606476</v>
      </c>
      <c r="P65" s="17">
        <f>+P63-P58</f>
        <v>788832.11619462445</v>
      </c>
      <c r="Q65" s="12"/>
      <c r="R65" s="12"/>
      <c r="S65" s="12"/>
      <c r="T65" s="12"/>
      <c r="U65" s="12"/>
      <c r="V65" s="12"/>
    </row>
    <row r="66" spans="1:22" x14ac:dyDescent="0.2">
      <c r="A66" s="12"/>
      <c r="B66" s="12"/>
      <c r="C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2"/>
      <c r="R66" s="12"/>
      <c r="S66" s="12"/>
      <c r="T66" s="12"/>
      <c r="U66" s="12"/>
      <c r="V66" s="12"/>
    </row>
    <row r="67" spans="1:22" x14ac:dyDescent="0.2">
      <c r="A67" s="1" t="s">
        <v>118</v>
      </c>
      <c r="B67" s="46" t="s">
        <v>56</v>
      </c>
      <c r="C67" s="160">
        <v>1739201.5394050321</v>
      </c>
      <c r="D67" s="19">
        <f t="shared" ref="D67:J67" si="33">+C67+D65</f>
        <v>3651476.749405032</v>
      </c>
      <c r="E67" s="19">
        <f t="shared" si="33"/>
        <v>3007961.5294050323</v>
      </c>
      <c r="F67" s="19">
        <f t="shared" si="33"/>
        <v>2891812.5594050325</v>
      </c>
      <c r="G67" s="19">
        <f t="shared" si="33"/>
        <v>3129012.4894050322</v>
      </c>
      <c r="H67" s="19">
        <f t="shared" si="33"/>
        <v>3154096.0694050323</v>
      </c>
      <c r="I67" s="19">
        <f t="shared" si="33"/>
        <v>3130302.9594050325</v>
      </c>
      <c r="J67" s="19">
        <f t="shared" si="33"/>
        <v>3125396.0494050328</v>
      </c>
      <c r="K67" s="19">
        <f>+J67+K65</f>
        <v>3373536.8594050328</v>
      </c>
      <c r="L67" s="19">
        <f>+K67+L65</f>
        <v>3622570.6750650513</v>
      </c>
      <c r="M67" s="19">
        <f>+L67+M65</f>
        <v>3527010.0794552034</v>
      </c>
      <c r="N67" s="19">
        <f>+M67+N65</f>
        <v>3007555.4936057185</v>
      </c>
      <c r="O67" s="19">
        <f>+N67+O65</f>
        <v>2528033.6555996537</v>
      </c>
      <c r="P67" s="19">
        <f>+O67</f>
        <v>2528033.6555996537</v>
      </c>
      <c r="Q67" s="12"/>
      <c r="R67" s="12"/>
      <c r="S67" s="12"/>
      <c r="T67" s="12"/>
      <c r="U67" s="12"/>
      <c r="V67" s="12"/>
    </row>
    <row r="68" spans="1:22" x14ac:dyDescent="0.2">
      <c r="A68" s="12" t="s">
        <v>27</v>
      </c>
      <c r="B68" s="53" t="s">
        <v>114</v>
      </c>
      <c r="C68" s="119">
        <v>62128.603142813881</v>
      </c>
      <c r="D68" s="26">
        <f>((AVERAGE(C67:D67)*(1-'PS INPUTS'!$C$70)*D69/12))</f>
        <v>2776.7271559862961</v>
      </c>
      <c r="E68" s="26">
        <f>((AVERAGE(D67:E67)*(1-'PS INPUTS'!$C$70)*E69/12))</f>
        <v>3627.2156706811238</v>
      </c>
      <c r="F68" s="26">
        <f>((AVERAGE(E67:F67)*(1-'PS INPUTS'!$C$70)*F69/12))</f>
        <v>3460.6354037517267</v>
      </c>
      <c r="G68" s="26">
        <f>((AVERAGE(F67:G67)*(1-'PS INPUTS'!$C$69)*G69/12))</f>
        <v>4544.7896839690338</v>
      </c>
      <c r="H68" s="26">
        <f>((AVERAGE(G67:H67)*(1-'PS INPUTS'!$C$69)*H69/12))</f>
        <v>5194.4657543678395</v>
      </c>
      <c r="I68" s="26">
        <f>((AVERAGE(H67:I67)*(1-'PS INPUTS'!$C$69)*I69/12))</f>
        <v>5308.4789926285785</v>
      </c>
      <c r="J68" s="26">
        <f>((AVERAGE(I67:J67)*(1-'PS INPUTS'!$C$69)*J69/12))</f>
        <v>5340.4511457023482</v>
      </c>
      <c r="K68" s="26">
        <f>((AVERAGE(J67:K67)*(1-'PS INPUTS'!$C$69)*K69/12))</f>
        <v>5548.0984059204739</v>
      </c>
      <c r="L68" s="26">
        <f>((AVERAGE(K67:L67)*(1-'PS INPUTS'!$C$69)*L69/12))</f>
        <v>5972.5332765050198</v>
      </c>
      <c r="M68" s="26">
        <f>((AVERAGE(L67:M67)*(1-'PS INPUTS'!$C$69)*M69/12))</f>
        <v>6103.5524052542251</v>
      </c>
      <c r="N68" s="26">
        <f>((AVERAGE(M67:N67)*(1-'PS INPUTS'!$C$69)*N69/12))</f>
        <v>5578.517788687278</v>
      </c>
      <c r="O68" s="26">
        <f>((AVERAGE(N67:O67)*(1-'PS INPUTS'!$C$69)*O69/12))</f>
        <v>4725.6978592444439</v>
      </c>
      <c r="P68" s="8">
        <f>SUM(D68:O68)</f>
        <v>58181.163542698385</v>
      </c>
      <c r="Q68" s="12"/>
      <c r="R68" s="12"/>
      <c r="S68" s="12"/>
      <c r="T68" s="12"/>
      <c r="U68" s="12"/>
      <c r="V68" s="12"/>
    </row>
    <row r="69" spans="1:22" x14ac:dyDescent="0.2">
      <c r="A69" s="12"/>
      <c r="B69" s="54"/>
      <c r="C69" s="30"/>
      <c r="D69" s="215">
        <f>D37</f>
        <v>2.0899999999999998E-2</v>
      </c>
      <c r="E69" s="215">
        <f t="shared" ref="E69:O69" si="34">E37</f>
        <v>2.2099999999999998E-2</v>
      </c>
      <c r="F69" s="215">
        <f t="shared" si="34"/>
        <v>2.3799999999999998E-2</v>
      </c>
      <c r="G69" s="215">
        <f t="shared" si="34"/>
        <v>2.52E-2</v>
      </c>
      <c r="H69" s="215">
        <f t="shared" si="34"/>
        <v>2.7600000000000003E-2</v>
      </c>
      <c r="I69" s="215">
        <f t="shared" si="34"/>
        <v>2.8200000000000003E-2</v>
      </c>
      <c r="J69" s="215">
        <f t="shared" si="34"/>
        <v>2.8500000000000001E-2</v>
      </c>
      <c r="K69" s="215">
        <f t="shared" si="34"/>
        <v>2.8500000000000001E-2</v>
      </c>
      <c r="L69" s="215">
        <f t="shared" si="34"/>
        <v>2.8500000000000001E-2</v>
      </c>
      <c r="M69" s="215">
        <f t="shared" si="34"/>
        <v>2.8500000000000001E-2</v>
      </c>
      <c r="N69" s="215">
        <f t="shared" si="34"/>
        <v>2.8500000000000001E-2</v>
      </c>
      <c r="O69" s="215">
        <f t="shared" si="34"/>
        <v>2.8500000000000001E-2</v>
      </c>
      <c r="P69" s="45"/>
      <c r="Q69" s="12"/>
      <c r="R69" s="12"/>
      <c r="S69" s="12"/>
      <c r="T69" s="12"/>
      <c r="U69" s="12"/>
      <c r="V69" s="12"/>
    </row>
    <row r="70" spans="1:22" x14ac:dyDescent="0.2">
      <c r="A70" s="12"/>
      <c r="B70" s="12"/>
      <c r="C70" s="12"/>
      <c r="D70" s="215"/>
      <c r="E70" s="215"/>
      <c r="F70" s="215"/>
      <c r="G70" s="215"/>
      <c r="H70" s="215"/>
      <c r="I70" s="215"/>
      <c r="J70" s="215"/>
      <c r="K70" s="19"/>
      <c r="L70" s="19"/>
      <c r="M70" s="19"/>
      <c r="N70" s="19"/>
      <c r="O70" s="19"/>
      <c r="P70" s="19"/>
      <c r="Q70" s="12"/>
      <c r="R70" s="12"/>
      <c r="S70" s="12"/>
      <c r="T70" s="12"/>
      <c r="U70" s="12"/>
      <c r="V70" s="12"/>
    </row>
    <row r="71" spans="1:22" x14ac:dyDescent="0.2">
      <c r="A71" s="1" t="s">
        <v>117</v>
      </c>
      <c r="B71" s="12"/>
      <c r="C71" s="12"/>
      <c r="D71" s="19">
        <f>+C67+C68+D65+D68</f>
        <v>3716382.079703832</v>
      </c>
      <c r="E71" s="19">
        <f>(D71+E65+E68)-C68</f>
        <v>3014365.4722316996</v>
      </c>
      <c r="F71" s="19">
        <f>E71+F65+F68</f>
        <v>2901677.1376354513</v>
      </c>
      <c r="G71" s="19">
        <f>F71+G65+G68</f>
        <v>3143421.8573194207</v>
      </c>
      <c r="H71" s="19">
        <f>G71+H65+H68</f>
        <v>3173699.9030737886</v>
      </c>
      <c r="I71" s="19">
        <f>H71+I65+I68</f>
        <v>3155215.2720664172</v>
      </c>
      <c r="J71" s="19">
        <f t="shared" ref="J71:O71" si="35">+I71+J65+J68</f>
        <v>3155648.8132121195</v>
      </c>
      <c r="K71" s="19">
        <f t="shared" si="35"/>
        <v>3409337.72161804</v>
      </c>
      <c r="L71" s="19">
        <f t="shared" si="35"/>
        <v>3664344.0705545633</v>
      </c>
      <c r="M71" s="19">
        <f t="shared" si="35"/>
        <v>3574887.0273499698</v>
      </c>
      <c r="N71" s="19">
        <f t="shared" si="35"/>
        <v>3061010.9592891722</v>
      </c>
      <c r="O71" s="19">
        <f t="shared" si="35"/>
        <v>2586214.8191423519</v>
      </c>
      <c r="P71" s="19">
        <f>+P67+P68</f>
        <v>2586214.8191423523</v>
      </c>
      <c r="Q71" s="12"/>
      <c r="R71" s="12"/>
      <c r="S71" s="12"/>
      <c r="T71" s="12"/>
      <c r="U71" s="12"/>
      <c r="V71" s="12"/>
    </row>
    <row r="72" spans="1:22" x14ac:dyDescent="0.2">
      <c r="A72" s="12"/>
      <c r="B72" s="12"/>
      <c r="C72" s="12"/>
      <c r="D72" s="22"/>
      <c r="E72" s="22"/>
      <c r="F72" s="22"/>
      <c r="G72" s="22"/>
      <c r="H72" s="22"/>
      <c r="I72" s="22"/>
      <c r="J72" s="22"/>
      <c r="K72" s="52"/>
      <c r="L72" s="52"/>
      <c r="M72" s="52"/>
      <c r="N72" s="52"/>
      <c r="O72" s="52"/>
      <c r="P72" s="52"/>
      <c r="Q72" s="12"/>
      <c r="R72" s="12"/>
      <c r="S72" s="12"/>
      <c r="T72" s="12"/>
      <c r="U72" s="12"/>
      <c r="V72" s="12"/>
    </row>
    <row r="73" spans="1:22" x14ac:dyDescent="0.2">
      <c r="A73" s="50" t="s">
        <v>8</v>
      </c>
      <c r="B73" s="50"/>
      <c r="C73" s="12"/>
      <c r="D73" s="22"/>
      <c r="E73" s="22"/>
      <c r="F73" s="22"/>
      <c r="G73" s="22"/>
      <c r="H73" s="22"/>
      <c r="I73" s="22"/>
      <c r="J73" s="22"/>
      <c r="K73" s="52"/>
      <c r="L73" s="52"/>
      <c r="M73" s="52"/>
      <c r="N73" s="52"/>
      <c r="O73" s="52"/>
      <c r="P73" s="52"/>
      <c r="Q73" s="12"/>
      <c r="R73" s="12"/>
      <c r="S73" s="12"/>
      <c r="T73" s="12"/>
      <c r="U73" s="12"/>
      <c r="V73" s="12"/>
    </row>
    <row r="74" spans="1:22" x14ac:dyDescent="0.2">
      <c r="A74" s="1" t="s">
        <v>131</v>
      </c>
      <c r="B74" s="12"/>
      <c r="C74" s="12"/>
      <c r="D74" s="419">
        <v>0</v>
      </c>
      <c r="E74" s="419">
        <v>50324.35</v>
      </c>
      <c r="F74" s="419">
        <v>0</v>
      </c>
      <c r="G74" s="419">
        <v>35867.19</v>
      </c>
      <c r="H74" s="419">
        <v>35491.199999999997</v>
      </c>
      <c r="I74" s="419">
        <v>54882.94</v>
      </c>
      <c r="J74" s="419">
        <v>38473.5</v>
      </c>
      <c r="K74" s="102">
        <f>'$ Transfer from State'!D18</f>
        <v>31223.17</v>
      </c>
      <c r="L74" s="102">
        <f>'$ Transfer from State'!E18</f>
        <v>29945.122580810541</v>
      </c>
      <c r="M74" s="102">
        <f>'$ Transfer from State'!F18</f>
        <v>35853.363475533013</v>
      </c>
      <c r="N74" s="102">
        <f>'$ Transfer from State'!G18</f>
        <v>43121.234706908152</v>
      </c>
      <c r="O74" s="102">
        <f>'$ Transfer from State'!H18</f>
        <v>42436.568078167133</v>
      </c>
      <c r="P74" s="422">
        <f>SUM(D74:O74)</f>
        <v>397618.6388414189</v>
      </c>
      <c r="Q74" s="12"/>
      <c r="R74" s="12"/>
      <c r="S74" s="12"/>
      <c r="T74" s="12"/>
      <c r="U74" s="12"/>
      <c r="V74" s="12"/>
    </row>
    <row r="75" spans="1:22" x14ac:dyDescent="0.2">
      <c r="A75" s="12"/>
      <c r="B75" s="12"/>
      <c r="C75" s="12"/>
      <c r="D75" s="423"/>
      <c r="E75" s="423"/>
      <c r="F75" s="423"/>
      <c r="G75" s="423"/>
      <c r="H75" s="423"/>
      <c r="I75" s="423"/>
      <c r="J75" s="423"/>
      <c r="K75" s="424"/>
      <c r="L75" s="424"/>
      <c r="M75" s="424"/>
      <c r="N75" s="425"/>
      <c r="O75" s="425"/>
      <c r="P75" s="425"/>
      <c r="Q75" s="12"/>
      <c r="R75" s="12"/>
      <c r="S75" s="12"/>
      <c r="T75" s="12"/>
      <c r="U75" s="12"/>
      <c r="V75" s="12"/>
    </row>
    <row r="76" spans="1:22" x14ac:dyDescent="0.2">
      <c r="A76" s="12" t="s">
        <v>26</v>
      </c>
      <c r="B76" s="12"/>
      <c r="C76" s="12"/>
      <c r="D76" s="424">
        <v>40757.4</v>
      </c>
      <c r="E76" s="424">
        <v>37573.879999999997</v>
      </c>
      <c r="F76" s="424">
        <v>35468</v>
      </c>
      <c r="G76" s="424">
        <v>11994.1</v>
      </c>
      <c r="H76" s="424">
        <v>33379.11</v>
      </c>
      <c r="I76" s="424">
        <v>33918.03</v>
      </c>
      <c r="J76" s="424">
        <v>33221.39</v>
      </c>
      <c r="K76" s="424">
        <v>33221.39</v>
      </c>
      <c r="L76" s="424">
        <v>33221.39</v>
      </c>
      <c r="M76" s="424">
        <v>33221.39</v>
      </c>
      <c r="N76" s="424">
        <v>33221.39</v>
      </c>
      <c r="O76" s="424">
        <v>33221.39</v>
      </c>
      <c r="P76" s="425">
        <f>SUM(D76:O76)</f>
        <v>392418.86000000004</v>
      </c>
      <c r="Q76" s="12"/>
      <c r="R76" s="12"/>
      <c r="S76" s="12"/>
      <c r="T76" s="12"/>
      <c r="U76" s="12"/>
      <c r="V76" s="12"/>
    </row>
    <row r="77" spans="1:22" x14ac:dyDescent="0.2">
      <c r="A77" s="12" t="s">
        <v>55</v>
      </c>
      <c r="B77" s="12"/>
      <c r="C77" s="12"/>
      <c r="D77" s="424">
        <v>558.55999999999995</v>
      </c>
      <c r="E77" s="424">
        <v>3610.07</v>
      </c>
      <c r="F77" s="424">
        <v>0</v>
      </c>
      <c r="G77" s="424">
        <v>820.94</v>
      </c>
      <c r="H77" s="424">
        <v>1400.86</v>
      </c>
      <c r="I77" s="424">
        <v>0</v>
      </c>
      <c r="J77" s="424">
        <v>993.54</v>
      </c>
      <c r="K77" s="424">
        <v>993.54</v>
      </c>
      <c r="L77" s="424">
        <v>993.54</v>
      </c>
      <c r="M77" s="424">
        <v>993.54</v>
      </c>
      <c r="N77" s="424">
        <v>993.54</v>
      </c>
      <c r="O77" s="424">
        <v>993.54</v>
      </c>
      <c r="P77" s="425">
        <f>SUM(D77:O77)</f>
        <v>12351.670000000002</v>
      </c>
      <c r="Q77" s="12"/>
      <c r="R77" s="12"/>
      <c r="S77" s="12"/>
      <c r="T77" s="12"/>
      <c r="U77" s="12"/>
      <c r="V77" s="12"/>
    </row>
    <row r="78" spans="1:22" x14ac:dyDescent="0.2">
      <c r="A78" s="12" t="s">
        <v>138</v>
      </c>
      <c r="B78" s="12"/>
      <c r="C78" s="12"/>
      <c r="D78" s="424">
        <v>0</v>
      </c>
      <c r="E78" s="424">
        <v>176.64</v>
      </c>
      <c r="F78" s="424">
        <v>21.62</v>
      </c>
      <c r="G78" s="424">
        <v>0</v>
      </c>
      <c r="H78" s="424">
        <v>18.399999999999999</v>
      </c>
      <c r="I78" s="424">
        <v>0</v>
      </c>
      <c r="J78" s="424">
        <v>-439</v>
      </c>
      <c r="K78" s="424">
        <v>0</v>
      </c>
      <c r="L78" s="424">
        <v>0</v>
      </c>
      <c r="M78" s="424">
        <v>0</v>
      </c>
      <c r="N78" s="424">
        <v>0</v>
      </c>
      <c r="O78" s="424">
        <v>0</v>
      </c>
      <c r="P78" s="426">
        <f>SUM(D78:O78)</f>
        <v>-222.34</v>
      </c>
      <c r="Q78" s="12"/>
      <c r="R78" s="12"/>
      <c r="S78" s="12"/>
      <c r="T78" s="12"/>
      <c r="U78" s="12"/>
      <c r="V78" s="12"/>
    </row>
    <row r="79" spans="1:22" x14ac:dyDescent="0.2">
      <c r="A79" s="12" t="s">
        <v>29</v>
      </c>
      <c r="B79" s="12"/>
      <c r="C79" s="12"/>
      <c r="D79" s="17">
        <f t="shared" ref="D79:O79" si="36">SUM(D76:D78)</f>
        <v>41315.96</v>
      </c>
      <c r="E79" s="17">
        <f t="shared" si="36"/>
        <v>41360.589999999997</v>
      </c>
      <c r="F79" s="17">
        <f t="shared" si="36"/>
        <v>35489.620000000003</v>
      </c>
      <c r="G79" s="17">
        <f t="shared" si="36"/>
        <v>12815.04</v>
      </c>
      <c r="H79" s="17">
        <f t="shared" si="36"/>
        <v>34798.370000000003</v>
      </c>
      <c r="I79" s="17">
        <f t="shared" si="36"/>
        <v>33918.03</v>
      </c>
      <c r="J79" s="17">
        <f t="shared" si="36"/>
        <v>33775.93</v>
      </c>
      <c r="K79" s="17">
        <f t="shared" si="36"/>
        <v>34214.93</v>
      </c>
      <c r="L79" s="17">
        <f t="shared" si="36"/>
        <v>34214.93</v>
      </c>
      <c r="M79" s="17">
        <f t="shared" si="36"/>
        <v>34214.93</v>
      </c>
      <c r="N79" s="17">
        <f t="shared" si="36"/>
        <v>34214.93</v>
      </c>
      <c r="O79" s="17">
        <f t="shared" si="36"/>
        <v>34214.93</v>
      </c>
      <c r="P79" s="27">
        <f>SUM(D79:O79)</f>
        <v>404548.18999999994</v>
      </c>
      <c r="Q79" s="12"/>
      <c r="R79" s="12"/>
      <c r="S79" s="12"/>
      <c r="T79" s="12"/>
      <c r="U79" s="12"/>
      <c r="V79" s="12"/>
    </row>
    <row r="80" spans="1:22" x14ac:dyDescent="0.2">
      <c r="A80" s="12"/>
      <c r="B80" s="12"/>
      <c r="C80" s="12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  <c r="Q80" s="12"/>
      <c r="R80" s="12"/>
      <c r="S80" s="12"/>
      <c r="T80" s="12"/>
      <c r="U80" s="12"/>
      <c r="V80" s="12"/>
    </row>
    <row r="81" spans="1:22" x14ac:dyDescent="0.2">
      <c r="A81" s="12" t="s">
        <v>54</v>
      </c>
      <c r="B81" s="12"/>
      <c r="C81" s="12"/>
      <c r="D81" s="17">
        <f>+D79-D74</f>
        <v>41315.96</v>
      </c>
      <c r="E81" s="17">
        <f t="shared" ref="E81:P81" si="37">+E79-E74</f>
        <v>-8963.760000000002</v>
      </c>
      <c r="F81" s="17">
        <f t="shared" si="37"/>
        <v>35489.620000000003</v>
      </c>
      <c r="G81" s="17">
        <f t="shared" si="37"/>
        <v>-23052.15</v>
      </c>
      <c r="H81" s="17">
        <f t="shared" si="37"/>
        <v>-692.82999999999447</v>
      </c>
      <c r="I81" s="17">
        <f t="shared" si="37"/>
        <v>-20964.910000000003</v>
      </c>
      <c r="J81" s="17">
        <f t="shared" si="37"/>
        <v>-4697.57</v>
      </c>
      <c r="K81" s="17">
        <f t="shared" si="37"/>
        <v>2991.760000000002</v>
      </c>
      <c r="L81" s="17">
        <f t="shared" si="37"/>
        <v>4269.8074191894593</v>
      </c>
      <c r="M81" s="17">
        <f t="shared" si="37"/>
        <v>-1638.4334755330128</v>
      </c>
      <c r="N81" s="17">
        <f t="shared" si="37"/>
        <v>-8906.3047069081513</v>
      </c>
      <c r="O81" s="17">
        <f t="shared" si="37"/>
        <v>-8221.6380781671323</v>
      </c>
      <c r="P81" s="17">
        <f t="shared" si="37"/>
        <v>6929.5511585810455</v>
      </c>
      <c r="Q81" s="12"/>
      <c r="R81" s="12"/>
      <c r="S81" s="12"/>
      <c r="T81" s="12"/>
      <c r="U81" s="12"/>
      <c r="V81" s="12"/>
    </row>
    <row r="82" spans="1:22" x14ac:dyDescent="0.2">
      <c r="A82" s="12"/>
      <c r="B82" s="12"/>
      <c r="C82" s="12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2"/>
      <c r="R82" s="12"/>
      <c r="S82" s="12"/>
      <c r="T82" s="12"/>
      <c r="U82" s="12"/>
      <c r="V82" s="12"/>
    </row>
    <row r="83" spans="1:22" x14ac:dyDescent="0.2">
      <c r="A83" s="1" t="s">
        <v>118</v>
      </c>
      <c r="B83" s="46" t="s">
        <v>56</v>
      </c>
      <c r="C83" s="423">
        <v>-238086.79944995471</v>
      </c>
      <c r="D83" s="19">
        <f>+C83+D81</f>
        <v>-196770.83944995471</v>
      </c>
      <c r="E83" s="19">
        <f>+D83+E81</f>
        <v>-205734.59944995472</v>
      </c>
      <c r="F83" s="19">
        <f>+E83+F81</f>
        <v>-170244.97944995473</v>
      </c>
      <c r="G83" s="19">
        <f>+F83+G81</f>
        <v>-193297.12944995472</v>
      </c>
      <c r="H83" s="19">
        <f t="shared" ref="H83:O83" si="38">+G83+H81</f>
        <v>-193989.95944995471</v>
      </c>
      <c r="I83" s="19">
        <f t="shared" si="38"/>
        <v>-214954.86944995471</v>
      </c>
      <c r="J83" s="19">
        <f t="shared" si="38"/>
        <v>-219652.43944995472</v>
      </c>
      <c r="K83" s="19">
        <f t="shared" si="38"/>
        <v>-216660.67944995471</v>
      </c>
      <c r="L83" s="19">
        <f t="shared" si="38"/>
        <v>-212390.87203076525</v>
      </c>
      <c r="M83" s="19">
        <f t="shared" si="38"/>
        <v>-214029.30550629826</v>
      </c>
      <c r="N83" s="19">
        <f t="shared" si="38"/>
        <v>-222935.61021320641</v>
      </c>
      <c r="O83" s="19">
        <f t="shared" si="38"/>
        <v>-231157.24829137354</v>
      </c>
      <c r="P83" s="19">
        <f>+O83</f>
        <v>-231157.24829137354</v>
      </c>
      <c r="Q83" s="12"/>
      <c r="R83" s="12"/>
      <c r="S83" s="12"/>
      <c r="T83" s="12"/>
      <c r="U83" s="12"/>
      <c r="V83" s="12"/>
    </row>
    <row r="84" spans="1:22" x14ac:dyDescent="0.2">
      <c r="A84" s="12" t="s">
        <v>27</v>
      </c>
      <c r="B84" s="53" t="s">
        <v>114</v>
      </c>
      <c r="C84" s="423">
        <v>-2093.9480894300636</v>
      </c>
      <c r="D84" s="26">
        <f>((AVERAGE(C83:D83)*(1-'PS INPUTS'!$C$70)*D85/12))</f>
        <v>-223.99426384392896</v>
      </c>
      <c r="E84" s="26">
        <f>((AVERAGE(D83:E83)*(1-'PS INPUTS'!$C$70)*E85/12))</f>
        <v>-219.23381137981048</v>
      </c>
      <c r="F84" s="26">
        <f>((AVERAGE(E83:F83)*(1-'PS INPUTS'!$C$70)*F85/12))</f>
        <v>-220.53865491163563</v>
      </c>
      <c r="G84" s="26">
        <f>((AVERAGE(F83:G83)*(1-'PS INPUTS'!$C$69)*G85/12))</f>
        <v>-274.41794319255212</v>
      </c>
      <c r="H84" s="26">
        <f>((AVERAGE(G83:H83)*(1-'PS INPUTS'!$C$69)*H85/12))</f>
        <v>-320.18379144166664</v>
      </c>
      <c r="I84" s="26">
        <f>((AVERAGE(H83:I83)*(1-'PS INPUTS'!$C$69)*I85/12))</f>
        <v>-345.43876405797022</v>
      </c>
      <c r="J84" s="26">
        <f>((AVERAGE(I83:J83)*(1-'PS INPUTS'!$C$69)*J85/12))</f>
        <v>-371.02154331217207</v>
      </c>
      <c r="K84" s="26">
        <f>((AVERAGE(J83:K83)*(1-'PS INPUTS'!$C$69)*K85/12))</f>
        <v>-372.47778264785956</v>
      </c>
      <c r="L84" s="26">
        <f>((AVERAGE(K83:L83)*(1-'PS INPUTS'!$C$69)*L85/12))</f>
        <v>-366.27862792689388</v>
      </c>
      <c r="M84" s="26">
        <f>((AVERAGE(L83:M83)*(1-'PS INPUTS'!$C$69)*M85/12))</f>
        <v>-364.03224043728147</v>
      </c>
      <c r="N84" s="26">
        <f>((AVERAGE(M83:N83)*(1-'PS INPUTS'!$C$69)*N85/12))</f>
        <v>-373.03421751901789</v>
      </c>
      <c r="O84" s="26">
        <f>((AVERAGE(N83:O83)*(1-'PS INPUTS'!$C$69)*O85/12))</f>
        <v>-387.6562352249943</v>
      </c>
      <c r="P84" s="8">
        <f>SUM(D84:O84)</f>
        <v>-3838.3078758957836</v>
      </c>
      <c r="Q84" s="12"/>
      <c r="R84" s="12"/>
      <c r="S84" s="12"/>
      <c r="T84" s="12"/>
      <c r="U84" s="12"/>
      <c r="V84" s="12"/>
    </row>
    <row r="85" spans="1:22" x14ac:dyDescent="0.2">
      <c r="A85" s="12"/>
      <c r="B85" s="54"/>
      <c r="C85" s="30"/>
      <c r="D85" s="215">
        <f>D37</f>
        <v>2.0899999999999998E-2</v>
      </c>
      <c r="E85" s="215">
        <f t="shared" ref="E85:O85" si="39">E37</f>
        <v>2.2099999999999998E-2</v>
      </c>
      <c r="F85" s="215">
        <f t="shared" si="39"/>
        <v>2.3799999999999998E-2</v>
      </c>
      <c r="G85" s="215">
        <f t="shared" si="39"/>
        <v>2.52E-2</v>
      </c>
      <c r="H85" s="215">
        <f t="shared" si="39"/>
        <v>2.7600000000000003E-2</v>
      </c>
      <c r="I85" s="215">
        <f t="shared" si="39"/>
        <v>2.8200000000000003E-2</v>
      </c>
      <c r="J85" s="215">
        <f t="shared" si="39"/>
        <v>2.8500000000000001E-2</v>
      </c>
      <c r="K85" s="215">
        <f t="shared" si="39"/>
        <v>2.8500000000000001E-2</v>
      </c>
      <c r="L85" s="215">
        <f t="shared" si="39"/>
        <v>2.8500000000000001E-2</v>
      </c>
      <c r="M85" s="215">
        <f t="shared" si="39"/>
        <v>2.8500000000000001E-2</v>
      </c>
      <c r="N85" s="215">
        <f t="shared" si="39"/>
        <v>2.8500000000000001E-2</v>
      </c>
      <c r="O85" s="215">
        <f t="shared" si="39"/>
        <v>2.8500000000000001E-2</v>
      </c>
      <c r="P85" s="45"/>
      <c r="Q85" s="12"/>
      <c r="R85" s="12"/>
      <c r="S85" s="12"/>
      <c r="T85" s="12"/>
      <c r="U85" s="12"/>
      <c r="V85" s="12"/>
    </row>
    <row r="86" spans="1:22" x14ac:dyDescent="0.2">
      <c r="A86" s="12"/>
      <c r="B86" s="53"/>
      <c r="C86" s="30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61"/>
      <c r="P86" s="19"/>
      <c r="Q86" s="12"/>
      <c r="R86" s="12"/>
      <c r="S86" s="12"/>
      <c r="T86" s="12"/>
      <c r="U86" s="12"/>
      <c r="V86" s="12"/>
    </row>
    <row r="87" spans="1:22" x14ac:dyDescent="0.2">
      <c r="A87" s="1" t="s">
        <v>117</v>
      </c>
      <c r="B87" s="12"/>
      <c r="C87" s="12"/>
      <c r="D87" s="19">
        <f>+C83+D81+D84+C84</f>
        <v>-199088.78180322869</v>
      </c>
      <c r="E87" s="19">
        <f>(D87+E81+E84-C84)</f>
        <v>-206177.82752517847</v>
      </c>
      <c r="F87" s="19">
        <f>E87+F81+F84</f>
        <v>-170908.74618009009</v>
      </c>
      <c r="G87" s="19">
        <f>F87+G81+G84</f>
        <v>-194235.31412328265</v>
      </c>
      <c r="H87" s="19">
        <f>G87+H81+H84</f>
        <v>-195248.3279147243</v>
      </c>
      <c r="I87" s="19">
        <f>H87+I81+I84</f>
        <v>-216558.67667878227</v>
      </c>
      <c r="J87" s="19">
        <f t="shared" ref="J87:O87" si="40">+I87+J81+J84</f>
        <v>-221627.26822209446</v>
      </c>
      <c r="K87" s="19">
        <f>+J87+K81+K84</f>
        <v>-219007.9860047423</v>
      </c>
      <c r="L87" s="19">
        <f t="shared" si="40"/>
        <v>-215104.45721347973</v>
      </c>
      <c r="M87" s="19">
        <f t="shared" si="40"/>
        <v>-217106.92292945003</v>
      </c>
      <c r="N87" s="19">
        <f t="shared" si="40"/>
        <v>-226386.26185387719</v>
      </c>
      <c r="O87" s="19">
        <f t="shared" si="40"/>
        <v>-234995.55616726933</v>
      </c>
      <c r="P87" s="19">
        <f>+P83+P84</f>
        <v>-234995.55616726933</v>
      </c>
      <c r="Q87" s="12"/>
      <c r="R87" s="12"/>
      <c r="S87" s="12"/>
      <c r="T87" s="12"/>
      <c r="U87" s="12"/>
      <c r="V87" s="12"/>
    </row>
    <row r="88" spans="1:22" x14ac:dyDescent="0.2">
      <c r="A88" s="12"/>
      <c r="B88" s="12"/>
      <c r="C88" s="12"/>
      <c r="D88" s="22"/>
      <c r="E88" s="22"/>
      <c r="F88" s="22"/>
      <c r="G88" s="22"/>
      <c r="H88" s="22"/>
      <c r="I88" s="22"/>
      <c r="J88" s="22"/>
      <c r="K88" s="52"/>
      <c r="L88" s="52"/>
      <c r="M88" s="52"/>
      <c r="N88" s="52"/>
      <c r="O88" s="52"/>
      <c r="P88" s="52"/>
      <c r="Q88" s="12"/>
      <c r="R88" s="12"/>
      <c r="S88" s="12"/>
      <c r="T88" s="12"/>
      <c r="U88" s="12"/>
      <c r="V88" s="12"/>
    </row>
    <row r="89" spans="1:22" x14ac:dyDescent="0.2">
      <c r="B89" s="46"/>
      <c r="C89" s="42"/>
      <c r="D89" s="41"/>
      <c r="E89" s="41"/>
      <c r="F89" s="41"/>
      <c r="G89" s="41"/>
      <c r="H89" s="41"/>
      <c r="I89" s="12"/>
      <c r="J89" s="12"/>
      <c r="K89" s="29"/>
      <c r="L89" s="29"/>
      <c r="M89" s="29"/>
      <c r="N89" s="29"/>
      <c r="O89" s="29"/>
      <c r="P89" s="29"/>
      <c r="Q89" s="12"/>
      <c r="R89" s="12"/>
      <c r="S89" s="12"/>
      <c r="T89" s="12"/>
      <c r="U89" s="12"/>
      <c r="V89" s="12"/>
    </row>
    <row r="90" spans="1:22" x14ac:dyDescent="0.2">
      <c r="A90" s="12"/>
      <c r="B90" s="12"/>
      <c r="C90" s="12"/>
      <c r="D90" s="55"/>
      <c r="E90" s="55"/>
      <c r="F90" s="55"/>
      <c r="G90" s="55"/>
      <c r="H90" s="55"/>
      <c r="I90" s="55"/>
      <c r="J90" s="55"/>
      <c r="K90" s="56"/>
      <c r="L90" s="56"/>
      <c r="M90" s="56"/>
      <c r="N90" s="56"/>
      <c r="O90" s="56"/>
      <c r="P90" s="29"/>
      <c r="Q90" s="12"/>
      <c r="R90" s="12"/>
      <c r="S90" s="12"/>
      <c r="T90" s="12"/>
      <c r="U90" s="12"/>
      <c r="V90" s="12"/>
    </row>
    <row r="91" spans="1:22" x14ac:dyDescent="0.2">
      <c r="A91" s="12"/>
      <c r="B91" s="12"/>
      <c r="C91" s="16"/>
      <c r="D91" s="36"/>
      <c r="E91" s="69"/>
      <c r="F91" s="69"/>
      <c r="G91" s="69"/>
      <c r="H91" s="69"/>
      <c r="I91" s="69"/>
      <c r="J91" s="69"/>
      <c r="K91" s="69"/>
      <c r="L91" s="69"/>
      <c r="M91" s="56"/>
      <c r="N91" s="56"/>
      <c r="O91" s="56"/>
      <c r="P91" s="29"/>
      <c r="Q91" s="12"/>
      <c r="R91" s="12"/>
      <c r="S91" s="12"/>
      <c r="T91" s="12"/>
      <c r="U91" s="12"/>
      <c r="V91" s="12"/>
    </row>
    <row r="92" spans="1:22" x14ac:dyDescent="0.2">
      <c r="A92" s="12"/>
      <c r="B92" s="12"/>
      <c r="D92" s="6"/>
      <c r="E92" s="69"/>
      <c r="F92" s="69"/>
      <c r="G92" s="69"/>
      <c r="H92" s="69"/>
      <c r="I92" s="69"/>
      <c r="J92" s="69"/>
      <c r="K92" s="69"/>
      <c r="L92" s="69"/>
      <c r="M92" s="56"/>
      <c r="N92" s="56"/>
      <c r="O92" s="56"/>
      <c r="P92" s="29"/>
      <c r="Q92" s="12"/>
      <c r="R92" s="12"/>
      <c r="S92" s="12"/>
      <c r="T92" s="12"/>
      <c r="U92" s="12"/>
      <c r="V92" s="12"/>
    </row>
    <row r="93" spans="1:22" x14ac:dyDescent="0.2">
      <c r="A93" s="12"/>
      <c r="B93" s="16" t="s">
        <v>193</v>
      </c>
      <c r="C93" s="12"/>
      <c r="D93" s="55"/>
      <c r="E93" s="84"/>
      <c r="F93" s="84"/>
      <c r="G93" s="84"/>
      <c r="H93" s="84"/>
      <c r="I93" s="84"/>
      <c r="J93" s="84"/>
      <c r="K93" s="84"/>
      <c r="L93" s="84"/>
      <c r="M93" s="56"/>
      <c r="N93" s="56"/>
      <c r="O93" s="56"/>
      <c r="P93" s="29"/>
      <c r="Q93" s="12"/>
      <c r="R93" s="12"/>
      <c r="S93" s="12"/>
      <c r="T93" s="12"/>
      <c r="U93" s="12"/>
      <c r="V93" s="12"/>
    </row>
    <row r="94" spans="1:22" x14ac:dyDescent="0.2">
      <c r="A94" s="12"/>
      <c r="B94" s="12"/>
      <c r="C94" s="71"/>
      <c r="D94" s="70"/>
      <c r="E94" s="73"/>
      <c r="F94" s="73"/>
      <c r="G94" s="49"/>
      <c r="H94" s="49"/>
      <c r="I94" s="49"/>
      <c r="J94" s="49"/>
      <c r="K94" s="49"/>
      <c r="L94" s="49"/>
      <c r="M94" s="29"/>
      <c r="N94" s="29"/>
      <c r="O94" s="29"/>
      <c r="P94" s="29"/>
      <c r="Q94" s="12"/>
      <c r="R94" s="12"/>
      <c r="S94" s="12"/>
      <c r="T94" s="12"/>
      <c r="U94" s="12"/>
      <c r="V94" s="12"/>
    </row>
    <row r="95" spans="1:22" x14ac:dyDescent="0.2">
      <c r="A95" s="12"/>
      <c r="B95" s="12"/>
      <c r="D95" s="75"/>
      <c r="E95" s="74"/>
      <c r="F95" s="73"/>
      <c r="G95" s="48"/>
      <c r="H95" s="48"/>
      <c r="I95" s="48"/>
      <c r="J95" s="48"/>
      <c r="K95" s="48"/>
      <c r="L95" s="48"/>
      <c r="M95" s="29"/>
      <c r="N95" s="29"/>
      <c r="O95" s="29"/>
      <c r="P95" s="29"/>
      <c r="Q95" s="12"/>
      <c r="R95" s="12"/>
      <c r="S95" s="12"/>
      <c r="T95" s="12"/>
      <c r="U95" s="12"/>
      <c r="V95" s="12"/>
    </row>
    <row r="96" spans="1:22" x14ac:dyDescent="0.2">
      <c r="A96" s="12"/>
      <c r="B96" s="46"/>
      <c r="D96" s="70"/>
      <c r="E96" s="75"/>
      <c r="F96" s="73"/>
      <c r="G96" s="48"/>
      <c r="H96" s="48"/>
      <c r="I96" s="48"/>
      <c r="J96" s="48"/>
      <c r="K96" s="48"/>
      <c r="L96" s="48"/>
      <c r="M96" s="57"/>
      <c r="N96" s="57"/>
      <c r="O96" s="57"/>
      <c r="P96" s="29"/>
      <c r="Q96" s="12"/>
      <c r="R96" s="12"/>
      <c r="S96" s="12"/>
      <c r="T96" s="12"/>
      <c r="U96" s="12"/>
      <c r="V96" s="12"/>
    </row>
    <row r="97" spans="1:22" x14ac:dyDescent="0.2">
      <c r="A97" s="12"/>
      <c r="B97" s="16"/>
      <c r="C97" s="46"/>
      <c r="D97" s="72"/>
      <c r="E97" s="75"/>
      <c r="F97" s="73"/>
      <c r="G97" s="48"/>
      <c r="H97" s="48"/>
      <c r="I97" s="48"/>
      <c r="J97" s="48"/>
      <c r="K97" s="48"/>
      <c r="L97" s="63"/>
      <c r="M97" s="57"/>
      <c r="N97" s="57"/>
      <c r="O97" s="57"/>
      <c r="P97" s="29"/>
      <c r="Q97" s="12"/>
      <c r="R97" s="12"/>
      <c r="S97" s="12"/>
      <c r="T97" s="12"/>
      <c r="U97" s="12"/>
      <c r="V97" s="12"/>
    </row>
    <row r="98" spans="1:22" x14ac:dyDescent="0.2">
      <c r="A98" s="12"/>
      <c r="B98" s="16"/>
      <c r="C98" s="43"/>
      <c r="D98" s="44"/>
      <c r="E98" s="63"/>
      <c r="F98" s="63"/>
      <c r="G98" s="63"/>
      <c r="H98" s="63"/>
      <c r="I98" s="63"/>
      <c r="J98" s="63"/>
      <c r="K98" s="63"/>
      <c r="L98" s="63"/>
      <c r="M98" s="57"/>
      <c r="N98" s="57"/>
      <c r="O98" s="57"/>
      <c r="P98" s="29"/>
      <c r="Q98" s="12"/>
      <c r="R98" s="12"/>
      <c r="S98" s="12"/>
      <c r="T98" s="12"/>
      <c r="U98" s="12"/>
      <c r="V98" s="12"/>
    </row>
    <row r="99" spans="1:22" x14ac:dyDescent="0.2">
      <c r="A99" s="12"/>
      <c r="B99" s="16"/>
      <c r="C99" s="43"/>
      <c r="D99" s="44"/>
      <c r="E99" s="63"/>
      <c r="F99" s="63"/>
      <c r="G99" s="63"/>
      <c r="H99" s="63"/>
      <c r="I99" s="63"/>
      <c r="J99" s="63"/>
      <c r="K99" s="63"/>
      <c r="L99" s="63"/>
      <c r="M99" s="29"/>
      <c r="N99" s="29"/>
      <c r="O99" s="29"/>
      <c r="P99" s="29"/>
      <c r="Q99" s="12"/>
      <c r="R99" s="12"/>
      <c r="S99" s="12"/>
      <c r="T99" s="12"/>
      <c r="U99" s="12"/>
      <c r="V99" s="12"/>
    </row>
    <row r="100" spans="1:22" x14ac:dyDescent="0.2">
      <c r="A100" s="12"/>
      <c r="B100" s="46"/>
      <c r="C100" s="43"/>
      <c r="D100" s="44"/>
      <c r="E100" s="63"/>
      <c r="F100" s="63"/>
      <c r="G100" s="63"/>
      <c r="H100" s="63"/>
      <c r="I100" s="63"/>
      <c r="J100" s="63"/>
      <c r="K100" s="63"/>
      <c r="L100" s="63"/>
      <c r="M100" s="29"/>
      <c r="N100" s="29"/>
      <c r="O100" s="29"/>
      <c r="P100" s="29"/>
      <c r="Q100" s="12"/>
      <c r="R100" s="12"/>
      <c r="S100" s="12"/>
      <c r="T100" s="12"/>
      <c r="U100" s="12"/>
      <c r="V100" s="12"/>
    </row>
    <row r="101" spans="1:22" x14ac:dyDescent="0.2">
      <c r="A101" s="12"/>
      <c r="B101" s="46"/>
      <c r="C101" s="43"/>
      <c r="D101" s="44"/>
      <c r="E101" s="44"/>
      <c r="F101" s="42"/>
      <c r="G101" s="48"/>
      <c r="H101" s="48"/>
      <c r="I101" s="48"/>
      <c r="J101" s="48"/>
      <c r="K101" s="48"/>
      <c r="L101" s="48"/>
      <c r="M101" s="29"/>
      <c r="N101" s="29"/>
      <c r="O101" s="29"/>
      <c r="P101" s="29"/>
      <c r="Q101" s="12"/>
      <c r="R101" s="12"/>
      <c r="S101" s="12"/>
      <c r="T101" s="12"/>
      <c r="U101" s="12"/>
      <c r="V101" s="12"/>
    </row>
    <row r="102" spans="1:22" x14ac:dyDescent="0.2">
      <c r="A102" s="12"/>
      <c r="B102" s="46"/>
      <c r="C102" s="43"/>
      <c r="D102" s="44"/>
      <c r="E102" s="44"/>
      <c r="F102" s="42"/>
      <c r="G102" s="48"/>
      <c r="H102" s="48"/>
      <c r="I102" s="48"/>
      <c r="J102" s="48"/>
      <c r="K102" s="48"/>
      <c r="L102" s="48"/>
      <c r="M102" s="29"/>
      <c r="N102" s="29"/>
      <c r="O102" s="29"/>
      <c r="P102" s="29"/>
      <c r="Q102" s="12"/>
      <c r="R102" s="12"/>
      <c r="S102" s="12"/>
      <c r="T102" s="12"/>
      <c r="U102" s="12"/>
      <c r="V102" s="12"/>
    </row>
    <row r="103" spans="1:22" x14ac:dyDescent="0.2">
      <c r="A103" s="14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x14ac:dyDescent="0.2">
      <c r="A107" s="489"/>
      <c r="B107" s="489"/>
      <c r="C107" s="489"/>
      <c r="D107" s="489"/>
      <c r="E107" s="489"/>
      <c r="F107" s="489"/>
      <c r="G107" s="489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x14ac:dyDescent="0.2">
      <c r="A108" s="489"/>
      <c r="B108" s="489"/>
      <c r="C108" s="489"/>
      <c r="D108" s="489"/>
      <c r="E108" s="489"/>
      <c r="F108" s="489"/>
      <c r="G108" s="489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x14ac:dyDescent="0.2">
      <c r="A109" s="489"/>
      <c r="B109" s="489"/>
      <c r="C109" s="489"/>
      <c r="D109" s="489"/>
      <c r="E109" s="489"/>
      <c r="F109" s="489"/>
      <c r="G109" s="489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x14ac:dyDescent="0.2">
      <c r="A110" s="489"/>
      <c r="B110" s="489"/>
      <c r="C110" s="489"/>
      <c r="D110" s="489"/>
      <c r="E110" s="489"/>
      <c r="F110" s="489"/>
      <c r="G110" s="489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x14ac:dyDescent="0.2">
      <c r="A111" s="489"/>
      <c r="B111" s="489"/>
      <c r="C111" s="489"/>
      <c r="D111" s="489"/>
      <c r="E111" s="489"/>
      <c r="F111" s="489"/>
      <c r="G111" s="489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</row>
    <row r="184" spans="1:22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</row>
    <row r="185" spans="1:22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</row>
    <row r="186" spans="1:22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</row>
    <row r="187" spans="1:22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1:22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1:22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1:22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1:22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</row>
    <row r="247" spans="1:22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</row>
    <row r="248" spans="1:22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</row>
    <row r="249" spans="1:22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</row>
    <row r="250" spans="1:22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</row>
    <row r="251" spans="1:22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</row>
    <row r="252" spans="1:22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</row>
    <row r="253" spans="1:22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</row>
    <row r="254" spans="1:22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</row>
    <row r="255" spans="1:22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</row>
    <row r="256" spans="1:22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</row>
    <row r="257" spans="1:22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</row>
    <row r="258" spans="1:22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</row>
    <row r="259" spans="1:22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</row>
    <row r="260" spans="1:22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</row>
    <row r="261" spans="1:22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</row>
    <row r="262" spans="1:22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</row>
    <row r="263" spans="1:22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</row>
    <row r="264" spans="1:22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</row>
    <row r="265" spans="1:22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</row>
    <row r="266" spans="1:22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</row>
    <row r="267" spans="1:22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</row>
    <row r="268" spans="1:22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</row>
    <row r="269" spans="1:22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</row>
    <row r="270" spans="1:22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</row>
    <row r="271" spans="1:22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</row>
    <row r="272" spans="1:22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</row>
    <row r="273" spans="1:22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</row>
    <row r="274" spans="1:22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</row>
    <row r="275" spans="1:22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</row>
    <row r="276" spans="1:22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</row>
    <row r="277" spans="1:22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</row>
    <row r="278" spans="1:22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</row>
    <row r="279" spans="1:22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</row>
    <row r="280" spans="1:22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</row>
    <row r="281" spans="1:22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</row>
    <row r="282" spans="1:22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</row>
    <row r="283" spans="1:22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</row>
    <row r="284" spans="1:22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</row>
    <row r="285" spans="1:22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</row>
    <row r="286" spans="1:22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</row>
    <row r="287" spans="1:22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</row>
    <row r="288" spans="1:22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</row>
    <row r="289" spans="1:22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</row>
    <row r="290" spans="1:22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</row>
    <row r="291" spans="1:22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</row>
    <row r="292" spans="1:22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</row>
    <row r="293" spans="1:22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</row>
    <row r="294" spans="1:22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</row>
    <row r="295" spans="1:22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</row>
    <row r="296" spans="1:22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</row>
    <row r="297" spans="1:22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</row>
    <row r="298" spans="1:22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</row>
    <row r="299" spans="1:22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</row>
    <row r="300" spans="1:22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</row>
    <row r="301" spans="1:22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</row>
    <row r="302" spans="1:22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</row>
    <row r="303" spans="1:22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</row>
    <row r="304" spans="1:22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</row>
    <row r="305" spans="1:22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</row>
    <row r="306" spans="1:22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</row>
    <row r="307" spans="1:22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</row>
    <row r="308" spans="1:22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</row>
    <row r="309" spans="1:22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</row>
    <row r="310" spans="1:22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</row>
    <row r="311" spans="1:22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</row>
    <row r="312" spans="1:22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</row>
    <row r="313" spans="1:22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</row>
    <row r="314" spans="1:22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</row>
    <row r="315" spans="1:22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</row>
    <row r="316" spans="1:22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</row>
    <row r="317" spans="1:22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</row>
    <row r="318" spans="1:22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</row>
    <row r="319" spans="1:22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</row>
    <row r="320" spans="1:22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</row>
    <row r="321" spans="1:22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</row>
    <row r="322" spans="1:22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</row>
    <row r="323" spans="1:22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</row>
    <row r="324" spans="1:22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</row>
    <row r="325" spans="1:22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</row>
    <row r="326" spans="1:22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</row>
    <row r="327" spans="1:22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</row>
    <row r="328" spans="1:22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</row>
    <row r="329" spans="1:22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</row>
    <row r="330" spans="1:22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</row>
    <row r="331" spans="1:22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</row>
    <row r="332" spans="1:22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</row>
    <row r="333" spans="1:22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</row>
    <row r="334" spans="1:22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</row>
    <row r="335" spans="1:22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</row>
    <row r="336" spans="1:22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</row>
    <row r="337" spans="1:22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</row>
    <row r="338" spans="1:22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</row>
    <row r="339" spans="1:22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</row>
    <row r="340" spans="1:22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</row>
    <row r="341" spans="1:22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</row>
    <row r="342" spans="1:22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</row>
    <row r="343" spans="1:22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</row>
    <row r="344" spans="1:22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</row>
    <row r="345" spans="1:22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</row>
    <row r="346" spans="1:22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</row>
    <row r="347" spans="1:22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</row>
    <row r="348" spans="1:22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</row>
    <row r="349" spans="1:22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</row>
    <row r="350" spans="1:22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</row>
    <row r="351" spans="1:22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</row>
    <row r="352" spans="1:22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</row>
    <row r="353" spans="1:22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</row>
    <row r="354" spans="1:22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</row>
    <row r="355" spans="1:22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</row>
    <row r="356" spans="1:22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</row>
    <row r="357" spans="1:22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</row>
    <row r="358" spans="1:22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</row>
    <row r="359" spans="1:22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</row>
    <row r="360" spans="1:22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</row>
    <row r="361" spans="1:22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</row>
    <row r="362" spans="1:22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</row>
    <row r="363" spans="1:22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</row>
    <row r="364" spans="1:22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</row>
    <row r="365" spans="1:22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</row>
    <row r="366" spans="1:22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</row>
    <row r="367" spans="1:22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</row>
    <row r="368" spans="1:22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</row>
    <row r="369" spans="1:22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</row>
    <row r="370" spans="1:22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</row>
    <row r="371" spans="1:22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</row>
    <row r="372" spans="1:22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</row>
    <row r="373" spans="1:22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</row>
    <row r="374" spans="1:22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</row>
    <row r="375" spans="1:22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</row>
    <row r="376" spans="1:22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</row>
    <row r="377" spans="1:22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</row>
    <row r="378" spans="1:22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</row>
    <row r="379" spans="1:22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</row>
    <row r="380" spans="1:22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</row>
    <row r="381" spans="1:22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</row>
    <row r="382" spans="1:22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</row>
    <row r="383" spans="1:22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</row>
    <row r="384" spans="1:22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</row>
    <row r="385" spans="1:22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</row>
    <row r="386" spans="1:22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</row>
    <row r="387" spans="1:22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</row>
    <row r="388" spans="1:22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</row>
    <row r="389" spans="1:22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</row>
    <row r="390" spans="1:22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</row>
    <row r="391" spans="1:22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</row>
    <row r="392" spans="1:22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</row>
    <row r="393" spans="1:22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</row>
    <row r="394" spans="1:22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</row>
    <row r="395" spans="1:22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</row>
    <row r="396" spans="1:22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</row>
    <row r="397" spans="1:22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</row>
    <row r="398" spans="1:22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</row>
    <row r="399" spans="1:22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</row>
    <row r="400" spans="1:22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</row>
  </sheetData>
  <mergeCells count="2">
    <mergeCell ref="A107:G109"/>
    <mergeCell ref="A110:G111"/>
  </mergeCells>
  <phoneticPr fontId="0" type="noConversion"/>
  <printOptions horizontalCentered="1"/>
  <pageMargins left="0" right="0" top="0.25" bottom="0" header="0.4" footer="0.5"/>
  <pageSetup paperSize="5" scale="70" fitToWidth="2" orientation="landscape" r:id="rId1"/>
  <headerFooter alignWithMargins="0">
    <oddFooter>&amp;R&amp;"Arial,Bold"&amp;11&amp;F
&amp;A</oddFooter>
  </headerFooter>
  <rowBreaks count="1" manualBreakCount="1">
    <brk id="56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Z30"/>
  <sheetViews>
    <sheetView zoomScaleNormal="100" workbookViewId="0">
      <pane xSplit="2" ySplit="6" topLeftCell="D7" activePane="bottomRight" state="frozen"/>
      <selection activeCell="C30" sqref="C29:C30"/>
      <selection pane="topRight" activeCell="C30" sqref="C29:C30"/>
      <selection pane="bottomLeft" activeCell="C30" sqref="C29:C30"/>
      <selection pane="bottomRight" activeCell="D23" sqref="D23"/>
    </sheetView>
  </sheetViews>
  <sheetFormatPr defaultRowHeight="12.75" x14ac:dyDescent="0.2"/>
  <cols>
    <col min="1" max="1" width="9.140625" style="1"/>
    <col min="2" max="2" width="3.7109375" style="1" customWidth="1"/>
    <col min="3" max="3" width="14.85546875" style="1" customWidth="1"/>
    <col min="4" max="4" width="13.28515625" style="1" customWidth="1"/>
    <col min="5" max="5" width="11.42578125" style="1" customWidth="1"/>
    <col min="6" max="6" width="11" style="1" customWidth="1"/>
    <col min="7" max="7" width="11.28515625" style="1" customWidth="1"/>
    <col min="8" max="8" width="10.5703125" style="1" customWidth="1"/>
    <col min="9" max="10" width="11.7109375" style="1" customWidth="1"/>
    <col min="11" max="11" width="11.42578125" style="1" customWidth="1"/>
    <col min="12" max="12" width="11.5703125" style="1" customWidth="1"/>
    <col min="13" max="14" width="11.42578125" style="1" customWidth="1"/>
    <col min="15" max="15" width="12.5703125" style="1" customWidth="1"/>
    <col min="16" max="16" width="9" style="1" customWidth="1"/>
    <col min="17" max="16384" width="9.140625" style="1"/>
  </cols>
  <sheetData>
    <row r="1" spans="1:17" x14ac:dyDescent="0.2">
      <c r="A1" s="68" t="s">
        <v>13</v>
      </c>
    </row>
    <row r="2" spans="1:17" x14ac:dyDescent="0.2">
      <c r="A2" s="68" t="s">
        <v>53</v>
      </c>
      <c r="F2" s="87"/>
    </row>
    <row r="3" spans="1:17" x14ac:dyDescent="0.2">
      <c r="A3" s="68" t="s">
        <v>45</v>
      </c>
    </row>
    <row r="4" spans="1:17" x14ac:dyDescent="0.2">
      <c r="A4" s="68"/>
    </row>
    <row r="5" spans="1:17" x14ac:dyDescent="0.2">
      <c r="C5" s="88">
        <f>'PS INPUTS'!C54</f>
        <v>2018</v>
      </c>
      <c r="D5" s="88">
        <f>'PS INPUTS'!D54</f>
        <v>2018</v>
      </c>
      <c r="E5" s="88">
        <f>'PS INPUTS'!E54</f>
        <v>2018</v>
      </c>
      <c r="F5" s="88">
        <f>'PS INPUTS'!F54</f>
        <v>2019</v>
      </c>
      <c r="G5" s="88">
        <f>'PS INPUTS'!G54</f>
        <v>2019</v>
      </c>
      <c r="H5" s="88">
        <f>'PS INPUTS'!H54</f>
        <v>2019</v>
      </c>
      <c r="I5" s="88">
        <f>'PS INPUTS'!I54</f>
        <v>2019</v>
      </c>
      <c r="J5" s="88">
        <f>'PS INPUTS'!J54</f>
        <v>2019</v>
      </c>
      <c r="K5" s="88">
        <f>'PS INPUTS'!K54</f>
        <v>2019</v>
      </c>
      <c r="L5" s="88">
        <f>'PS INPUTS'!L54</f>
        <v>2019</v>
      </c>
      <c r="M5" s="88">
        <f>'PS INPUTS'!M54</f>
        <v>2019</v>
      </c>
      <c r="N5" s="88">
        <f>'PS INPUTS'!N54</f>
        <v>2019</v>
      </c>
    </row>
    <row r="6" spans="1:17" s="4" customFormat="1" x14ac:dyDescent="0.2">
      <c r="C6" s="4" t="str">
        <f>'PS INPUTS'!C55</f>
        <v>October</v>
      </c>
      <c r="D6" s="4" t="str">
        <f>'PS INPUTS'!D55</f>
        <v>November</v>
      </c>
      <c r="E6" s="4" t="str">
        <f>'PS INPUTS'!E55</f>
        <v>December</v>
      </c>
      <c r="F6" s="4" t="str">
        <f>'PS INPUTS'!F55</f>
        <v>January</v>
      </c>
      <c r="G6" s="4" t="str">
        <f>'PS INPUTS'!G55</f>
        <v>February</v>
      </c>
      <c r="H6" s="4" t="str">
        <f>'PS INPUTS'!H55</f>
        <v>March</v>
      </c>
      <c r="I6" s="4" t="str">
        <f>'PS INPUTS'!I55</f>
        <v xml:space="preserve">April </v>
      </c>
      <c r="J6" s="4" t="str">
        <f>'PS INPUTS'!J55</f>
        <v>May</v>
      </c>
      <c r="K6" s="4" t="str">
        <f>'PS INPUTS'!K55</f>
        <v>June</v>
      </c>
      <c r="L6" s="4" t="str">
        <f>'PS INPUTS'!L55</f>
        <v>July</v>
      </c>
      <c r="M6" s="4" t="str">
        <f>'PS INPUTS'!M55</f>
        <v>August</v>
      </c>
      <c r="N6" s="4" t="str">
        <f>'PS INPUTS'!N55</f>
        <v>September</v>
      </c>
      <c r="O6" s="4" t="s">
        <v>1</v>
      </c>
    </row>
    <row r="7" spans="1:17" x14ac:dyDescent="0.2"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90"/>
    </row>
    <row r="8" spans="1:17" x14ac:dyDescent="0.2">
      <c r="A8" s="68" t="s">
        <v>129</v>
      </c>
    </row>
    <row r="10" spans="1:17" x14ac:dyDescent="0.2">
      <c r="A10" s="1" t="s">
        <v>0</v>
      </c>
      <c r="C10" s="427">
        <v>33906.991767214342</v>
      </c>
      <c r="D10" s="427">
        <v>65944.120978146733</v>
      </c>
      <c r="E10" s="427">
        <v>109906.21122949901</v>
      </c>
      <c r="F10" s="427">
        <v>136488.61648259853</v>
      </c>
      <c r="G10" s="427">
        <v>113581.18957347443</v>
      </c>
      <c r="H10" s="427">
        <v>92653.356331112576</v>
      </c>
      <c r="I10" s="427">
        <v>49117.785505965483</v>
      </c>
      <c r="J10" s="427">
        <v>27040.662294526897</v>
      </c>
      <c r="K10" s="427">
        <v>19974.48881070776</v>
      </c>
      <c r="L10" s="427">
        <v>19675.270705335843</v>
      </c>
      <c r="M10" s="427">
        <v>19427.945731183332</v>
      </c>
      <c r="N10" s="427">
        <v>19005.867559384031</v>
      </c>
      <c r="O10" s="31">
        <f>SUM(C10:N10)</f>
        <v>706722.50696914899</v>
      </c>
    </row>
    <row r="11" spans="1:17" x14ac:dyDescent="0.2">
      <c r="A11" s="1" t="s">
        <v>7</v>
      </c>
      <c r="C11" s="428">
        <v>19856.411876102535</v>
      </c>
      <c r="D11" s="428">
        <v>38820.925894489214</v>
      </c>
      <c r="E11" s="428">
        <v>60532.990871305665</v>
      </c>
      <c r="F11" s="428">
        <v>91290.89688831105</v>
      </c>
      <c r="G11" s="428">
        <v>90529.440878097055</v>
      </c>
      <c r="H11" s="428">
        <v>82830.352465803924</v>
      </c>
      <c r="I11" s="428">
        <v>59080.476906247211</v>
      </c>
      <c r="J11" s="428">
        <v>31547.483973851278</v>
      </c>
      <c r="K11" s="428">
        <v>21948.849937181953</v>
      </c>
      <c r="L11" s="428">
        <v>24302.447852354966</v>
      </c>
      <c r="M11" s="428">
        <v>23118.850855409208</v>
      </c>
      <c r="N11" s="428">
        <v>21879.042263608098</v>
      </c>
      <c r="O11" s="31">
        <f t="shared" ref="O11" si="0">SUM(C11:N11)</f>
        <v>565738.17066276213</v>
      </c>
      <c r="Q11" s="33"/>
    </row>
    <row r="12" spans="1:17" x14ac:dyDescent="0.2">
      <c r="A12" s="1" t="s">
        <v>6</v>
      </c>
      <c r="C12" s="429">
        <f>'PS INPUTS'!C58</f>
        <v>121891.00399999999</v>
      </c>
      <c r="D12" s="429">
        <f>'PS INPUTS'!D58</f>
        <v>224098.66400000002</v>
      </c>
      <c r="E12" s="429">
        <f>'PS INPUTS'!E58</f>
        <v>365055.42300000001</v>
      </c>
      <c r="F12" s="429">
        <f>'PS INPUTS'!F58</f>
        <v>463472.73400000005</v>
      </c>
      <c r="G12" s="429">
        <f>'PS INPUTS'!G58</f>
        <v>479540.01</v>
      </c>
      <c r="H12" s="429">
        <f>'PS INPUTS'!H58</f>
        <v>411044.38100000005</v>
      </c>
      <c r="I12" s="429">
        <f>'PS INPUTS'!I58</f>
        <v>270742.62599999999</v>
      </c>
      <c r="J12" s="429">
        <f>'PS INPUTS'!J58</f>
        <v>158472.329</v>
      </c>
      <c r="K12" s="429">
        <f>'PS INPUTS'!K58</f>
        <v>122660.681</v>
      </c>
      <c r="L12" s="429">
        <f>'PS INPUTS'!L58</f>
        <v>101726.93</v>
      </c>
      <c r="M12" s="429">
        <f>'PS INPUTS'!M58</f>
        <v>92746.383999999991</v>
      </c>
      <c r="N12" s="429">
        <f>'PS INPUTS'!N58</f>
        <v>96799.313999999998</v>
      </c>
      <c r="O12" s="31">
        <f>SUM(C12:N12)</f>
        <v>2908250.48</v>
      </c>
      <c r="P12" s="105"/>
    </row>
    <row r="13" spans="1:17" x14ac:dyDescent="0.2">
      <c r="A13" s="1" t="s">
        <v>87</v>
      </c>
      <c r="B13" s="16"/>
      <c r="C13" s="430">
        <v>20458</v>
      </c>
      <c r="D13" s="430">
        <v>38076</v>
      </c>
      <c r="E13" s="430">
        <v>59143</v>
      </c>
      <c r="F13" s="430">
        <v>79071</v>
      </c>
      <c r="G13" s="430">
        <v>81670</v>
      </c>
      <c r="H13" s="430">
        <v>69219</v>
      </c>
      <c r="I13" s="430">
        <v>48310</v>
      </c>
      <c r="J13" s="430">
        <v>28915</v>
      </c>
      <c r="K13" s="430">
        <v>18236</v>
      </c>
      <c r="L13" s="430">
        <v>18402</v>
      </c>
      <c r="M13" s="430">
        <v>16074</v>
      </c>
      <c r="N13" s="430">
        <v>16433</v>
      </c>
      <c r="O13" s="31">
        <f>SUM(C13:N13)</f>
        <v>494007</v>
      </c>
    </row>
    <row r="14" spans="1:17" x14ac:dyDescent="0.2"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7" x14ac:dyDescent="0.2">
      <c r="A15" s="21" t="s">
        <v>1</v>
      </c>
      <c r="C15" s="31">
        <f>SUM(C10:C13)</f>
        <v>196112.40764331687</v>
      </c>
      <c r="D15" s="31">
        <f>SUM(D10:D13)</f>
        <v>366939.71087263594</v>
      </c>
      <c r="E15" s="31">
        <f>SUM(E10:E13)</f>
        <v>594637.62510080473</v>
      </c>
      <c r="F15" s="31">
        <f t="shared" ref="F15:N15" si="1">SUM(F10:F13)</f>
        <v>770323.24737090967</v>
      </c>
      <c r="G15" s="31">
        <f t="shared" si="1"/>
        <v>765320.64045157144</v>
      </c>
      <c r="H15" s="31">
        <f t="shared" si="1"/>
        <v>655747.08979691658</v>
      </c>
      <c r="I15" s="31">
        <f t="shared" si="1"/>
        <v>427250.88841221272</v>
      </c>
      <c r="J15" s="31">
        <f t="shared" si="1"/>
        <v>245975.47526837816</v>
      </c>
      <c r="K15" s="31">
        <f t="shared" si="1"/>
        <v>182820.01974788972</v>
      </c>
      <c r="L15" s="31">
        <f t="shared" si="1"/>
        <v>164106.64855769079</v>
      </c>
      <c r="M15" s="31">
        <f t="shared" si="1"/>
        <v>151367.18058659253</v>
      </c>
      <c r="N15" s="31">
        <f t="shared" si="1"/>
        <v>154117.22382299212</v>
      </c>
      <c r="O15" s="31">
        <f>SUM(C15:N15)</f>
        <v>4674718.1576319113</v>
      </c>
    </row>
    <row r="16" spans="1:17" x14ac:dyDescent="0.2">
      <c r="A16" s="2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26" x14ac:dyDescent="0.2"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26" x14ac:dyDescent="0.2">
      <c r="A18" s="68" t="s">
        <v>77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26" x14ac:dyDescent="0.2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1"/>
    </row>
    <row r="20" spans="1:26" x14ac:dyDescent="0.2">
      <c r="A20" s="1" t="s">
        <v>6</v>
      </c>
      <c r="C20" s="5">
        <f>'PS INPUTS'!C59/1000</f>
        <v>3151971.6331688818</v>
      </c>
      <c r="D20" s="5">
        <f>'PS INPUTS'!D59/1000</f>
        <v>2951580.9204682559</v>
      </c>
      <c r="E20" s="5">
        <f>'PS INPUTS'!E59/1000</f>
        <v>3354644.9944719505</v>
      </c>
      <c r="F20" s="5">
        <f>'PS INPUTS'!F59/1000</f>
        <v>3534714.3229234423</v>
      </c>
      <c r="G20" s="5">
        <f>'PS INPUTS'!G59/1000</f>
        <v>3398390.4430130846</v>
      </c>
      <c r="H20" s="5">
        <f>'PS INPUTS'!H59/1000</f>
        <v>3259906.7417825707</v>
      </c>
      <c r="I20" s="5">
        <f>'PS INPUTS'!I59/1000</f>
        <v>2960421.6177629554</v>
      </c>
      <c r="J20" s="5">
        <f>'PS INPUTS'!J59/1000</f>
        <v>2947589.3218570529</v>
      </c>
      <c r="K20" s="5">
        <f>'PS INPUTS'!K59/1000</f>
        <v>3550873.2214225694</v>
      </c>
      <c r="L20" s="5">
        <f>'PS INPUTS'!L59/1000</f>
        <v>4262165.2867839634</v>
      </c>
      <c r="M20" s="5">
        <f>'PS INPUTS'!M59/1000</f>
        <v>4225463.9276629267</v>
      </c>
      <c r="N20" s="5">
        <f>'PS INPUTS'!N59/1000</f>
        <v>3833547.1549444092</v>
      </c>
      <c r="O20" s="31">
        <f>SUM(C20:N20)</f>
        <v>41431269.58626207</v>
      </c>
      <c r="P20" s="91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">
      <c r="A21" s="1" t="s">
        <v>2</v>
      </c>
      <c r="C21" s="431">
        <v>1492596</v>
      </c>
      <c r="D21" s="431">
        <v>1514791</v>
      </c>
      <c r="E21" s="431">
        <v>1726757</v>
      </c>
      <c r="F21" s="431">
        <v>1746784</v>
      </c>
      <c r="G21" s="431">
        <v>1574309</v>
      </c>
      <c r="H21" s="431">
        <v>1567437</v>
      </c>
      <c r="I21" s="431">
        <v>1399128</v>
      </c>
      <c r="J21" s="431">
        <v>1528122</v>
      </c>
      <c r="K21" s="431">
        <v>1817589</v>
      </c>
      <c r="L21" s="431">
        <v>2155187</v>
      </c>
      <c r="M21" s="431">
        <v>2039450</v>
      </c>
      <c r="N21" s="431">
        <v>1619277</v>
      </c>
      <c r="O21" s="31">
        <f>SUM(C21:N21)</f>
        <v>20181427</v>
      </c>
      <c r="P21" s="91"/>
    </row>
    <row r="22" spans="1:26" x14ac:dyDescent="0.2">
      <c r="A22" s="1" t="s">
        <v>85</v>
      </c>
      <c r="C22" s="432">
        <v>637406.25668014097</v>
      </c>
      <c r="D22" s="432">
        <v>609248.96966294502</v>
      </c>
      <c r="E22" s="432">
        <v>659498.54968379706</v>
      </c>
      <c r="F22" s="432">
        <v>750197.51396537095</v>
      </c>
      <c r="G22" s="432">
        <v>719617.42110716703</v>
      </c>
      <c r="H22" s="432">
        <v>654466.39170683699</v>
      </c>
      <c r="I22" s="432">
        <v>597300.95583010803</v>
      </c>
      <c r="J22" s="432">
        <v>580341.38293187099</v>
      </c>
      <c r="K22" s="432">
        <v>690044.74667015194</v>
      </c>
      <c r="L22" s="432">
        <v>902279.55268123804</v>
      </c>
      <c r="M22" s="432">
        <v>981496.61633650097</v>
      </c>
      <c r="N22" s="432">
        <v>913372.438154581</v>
      </c>
      <c r="O22" s="31">
        <f>SUM(C22:N22)</f>
        <v>8695270.7954107113</v>
      </c>
      <c r="P22" s="91"/>
    </row>
    <row r="23" spans="1:26" x14ac:dyDescent="0.2">
      <c r="A23" s="1" t="s">
        <v>8</v>
      </c>
      <c r="C23" s="6">
        <v>114169</v>
      </c>
      <c r="D23" s="6">
        <v>115890</v>
      </c>
      <c r="E23" s="6">
        <v>120677</v>
      </c>
      <c r="F23" s="6">
        <v>128894</v>
      </c>
      <c r="G23" s="6">
        <v>120141</v>
      </c>
      <c r="H23" s="6">
        <v>114557</v>
      </c>
      <c r="I23" s="6">
        <v>103551</v>
      </c>
      <c r="J23" s="6">
        <v>107959</v>
      </c>
      <c r="K23" s="6">
        <v>125218</v>
      </c>
      <c r="L23" s="6">
        <v>158975</v>
      </c>
      <c r="M23" s="6">
        <v>157425</v>
      </c>
      <c r="N23" s="6">
        <v>146294</v>
      </c>
      <c r="O23" s="31">
        <f>SUM(C23:N23)</f>
        <v>1513750</v>
      </c>
      <c r="P23" s="5"/>
    </row>
    <row r="24" spans="1:26" x14ac:dyDescent="0.2"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91"/>
    </row>
    <row r="25" spans="1:26" x14ac:dyDescent="0.2">
      <c r="A25" s="21" t="s">
        <v>1</v>
      </c>
      <c r="C25" s="31">
        <f>SUM(C20:C23)</f>
        <v>5396142.889849023</v>
      </c>
      <c r="D25" s="31">
        <f t="shared" ref="D25:N25" si="2">SUM(D20:D23)</f>
        <v>5191510.8901312007</v>
      </c>
      <c r="E25" s="31">
        <f t="shared" si="2"/>
        <v>5861577.5441557476</v>
      </c>
      <c r="F25" s="31">
        <f t="shared" si="2"/>
        <v>6160589.8368888134</v>
      </c>
      <c r="G25" s="31">
        <f t="shared" si="2"/>
        <v>5812457.8641202524</v>
      </c>
      <c r="H25" s="31">
        <f t="shared" si="2"/>
        <v>5596367.1334894076</v>
      </c>
      <c r="I25" s="31">
        <f t="shared" si="2"/>
        <v>5060401.5735930633</v>
      </c>
      <c r="J25" s="31">
        <f t="shared" si="2"/>
        <v>5164011.7047889242</v>
      </c>
      <c r="K25" s="31">
        <f t="shared" si="2"/>
        <v>6183724.9680927219</v>
      </c>
      <c r="L25" s="31">
        <f t="shared" si="2"/>
        <v>7478606.8394652018</v>
      </c>
      <c r="M25" s="31">
        <f t="shared" si="2"/>
        <v>7403835.5439994279</v>
      </c>
      <c r="N25" s="31">
        <f t="shared" si="2"/>
        <v>6512490.5930989897</v>
      </c>
      <c r="O25" s="31">
        <f>SUM(C25:N25)</f>
        <v>71821717.38167277</v>
      </c>
      <c r="P25" s="91"/>
    </row>
    <row r="26" spans="1:26" x14ac:dyDescent="0.2">
      <c r="A26" s="2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26" x14ac:dyDescent="0.2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26" x14ac:dyDescent="0.2">
      <c r="C28" s="1" t="s">
        <v>130</v>
      </c>
    </row>
    <row r="29" spans="1:26" x14ac:dyDescent="0.2">
      <c r="C29" s="34"/>
      <c r="D29" s="34"/>
      <c r="E29" s="34"/>
      <c r="F29" s="34"/>
      <c r="G29" s="34"/>
      <c r="H29" s="2"/>
      <c r="I29" s="2"/>
      <c r="L29" s="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1:26" x14ac:dyDescent="0.2">
      <c r="C30" s="2"/>
      <c r="D30" s="2"/>
      <c r="E30" s="2"/>
      <c r="F30" s="2"/>
      <c r="G30" s="2"/>
      <c r="H30" s="2"/>
      <c r="I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</sheetData>
  <phoneticPr fontId="0" type="noConversion"/>
  <pageMargins left="0.5" right="0.25" top="1" bottom="1" header="0.4" footer="0.5"/>
  <pageSetup paperSize="5" orientation="landscape" r:id="rId1"/>
  <headerFooter alignWithMargins="0">
    <oddFooter>&amp;R&amp;"Arial,Bold"&amp;11&amp;F
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Y60"/>
  <sheetViews>
    <sheetView zoomScaleNormal="100" workbookViewId="0">
      <pane xSplit="2" ySplit="5" topLeftCell="F6" activePane="bottomRight" state="frozen"/>
      <selection activeCell="C30" sqref="C29:C30"/>
      <selection pane="topRight" activeCell="C30" sqref="C29:C30"/>
      <selection pane="bottomLeft" activeCell="C30" sqref="C29:C30"/>
      <selection pane="bottomRight" activeCell="J19" sqref="J19"/>
    </sheetView>
  </sheetViews>
  <sheetFormatPr defaultRowHeight="12.75" x14ac:dyDescent="0.2"/>
  <cols>
    <col min="1" max="1" width="27.42578125" style="1" bestFit="1" customWidth="1"/>
    <col min="2" max="2" width="8.42578125" style="1" customWidth="1"/>
    <col min="3" max="4" width="13" style="1" customWidth="1"/>
    <col min="5" max="5" width="16.85546875" style="1" customWidth="1"/>
    <col min="6" max="7" width="15.7109375" style="1" bestFit="1" customWidth="1"/>
    <col min="8" max="11" width="14.7109375" style="1" bestFit="1" customWidth="1"/>
    <col min="12" max="12" width="13.42578125" style="1" bestFit="1" customWidth="1"/>
    <col min="13" max="14" width="12.7109375" style="1" customWidth="1"/>
    <col min="15" max="15" width="17.5703125" style="1" customWidth="1"/>
    <col min="16" max="16384" width="9.140625" style="1"/>
  </cols>
  <sheetData>
    <row r="1" spans="1:19" x14ac:dyDescent="0.2">
      <c r="A1" s="68" t="s">
        <v>125</v>
      </c>
    </row>
    <row r="3" spans="1:19" s="4" customFormat="1" x14ac:dyDescent="0.2">
      <c r="A3" s="4" t="s">
        <v>5</v>
      </c>
      <c r="C3" s="4" t="str">
        <f>'PS INPUTS'!C3</f>
        <v>October</v>
      </c>
      <c r="D3" s="4" t="str">
        <f>'PS INPUTS'!D3</f>
        <v>November</v>
      </c>
      <c r="E3" s="4" t="str">
        <f>'PS INPUTS'!E3</f>
        <v>December</v>
      </c>
      <c r="F3" s="4" t="str">
        <f>'PS INPUTS'!F3</f>
        <v>January</v>
      </c>
      <c r="G3" s="4" t="str">
        <f>'PS INPUTS'!G3</f>
        <v>February</v>
      </c>
      <c r="H3" s="4" t="str">
        <f>'PS INPUTS'!H3</f>
        <v>March</v>
      </c>
      <c r="I3" s="4" t="str">
        <f>'PS INPUTS'!I3</f>
        <v xml:space="preserve">April </v>
      </c>
      <c r="J3" s="4" t="str">
        <f>'PS INPUTS'!J3</f>
        <v>May</v>
      </c>
      <c r="K3" s="4" t="str">
        <f>'PS INPUTS'!K3</f>
        <v>June</v>
      </c>
      <c r="L3" s="4" t="str">
        <f>'PS INPUTS'!L3</f>
        <v>July</v>
      </c>
      <c r="M3" s="4" t="str">
        <f>'PS INPUTS'!M3</f>
        <v>August</v>
      </c>
      <c r="N3" s="4" t="str">
        <f>'PS INPUTS'!N3</f>
        <v>September</v>
      </c>
      <c r="O3" s="7" t="s">
        <v>1</v>
      </c>
    </row>
    <row r="4" spans="1:19" s="4" customFormat="1" x14ac:dyDescent="0.2">
      <c r="C4" s="4">
        <f>'PS INPUTS'!C4</f>
        <v>2017</v>
      </c>
      <c r="D4" s="4">
        <f>'PS INPUTS'!D4</f>
        <v>2017</v>
      </c>
      <c r="E4" s="4">
        <f>'PS INPUTS'!E4</f>
        <v>2017</v>
      </c>
      <c r="F4" s="4">
        <f>'PS INPUTS'!F4</f>
        <v>2018</v>
      </c>
      <c r="G4" s="4">
        <f>'PS INPUTS'!G4</f>
        <v>2018</v>
      </c>
      <c r="H4" s="4">
        <f>'PS INPUTS'!H4</f>
        <v>2018</v>
      </c>
      <c r="I4" s="4">
        <f>'PS INPUTS'!I4</f>
        <v>2018</v>
      </c>
      <c r="J4" s="4">
        <f>'PS INPUTS'!J4</f>
        <v>2018</v>
      </c>
      <c r="K4" s="4">
        <f>'PS INPUTS'!K4</f>
        <v>2018</v>
      </c>
      <c r="L4" s="4">
        <f>'PS INPUTS'!L4</f>
        <v>2018</v>
      </c>
      <c r="M4" s="4">
        <f>'PS INPUTS'!M4</f>
        <v>2018</v>
      </c>
      <c r="N4" s="4">
        <f>'PS INPUTS'!N4</f>
        <v>2018</v>
      </c>
      <c r="O4" s="7"/>
    </row>
    <row r="5" spans="1:19" s="4" customFormat="1" x14ac:dyDescent="0.2">
      <c r="C5" s="4" t="str">
        <f>'PS INPUTS'!C5</f>
        <v>actual</v>
      </c>
      <c r="D5" s="4" t="str">
        <f>'PS INPUTS'!D5</f>
        <v>actual</v>
      </c>
      <c r="E5" s="4" t="str">
        <f>'PS INPUTS'!E5</f>
        <v>actual</v>
      </c>
      <c r="F5" s="4" t="str">
        <f>'PS INPUTS'!F5</f>
        <v>actual</v>
      </c>
      <c r="G5" s="4" t="str">
        <f>'PS INPUTS'!G5</f>
        <v>actual</v>
      </c>
      <c r="H5" s="4" t="str">
        <f>'PS INPUTS'!H5</f>
        <v>actual</v>
      </c>
      <c r="I5" s="4" t="str">
        <f>'PS INPUTS'!I5</f>
        <v>actual</v>
      </c>
      <c r="J5" s="4" t="str">
        <f>'PS INPUTS'!J5</f>
        <v>estimate</v>
      </c>
      <c r="K5" s="4" t="str">
        <f>'PS INPUTS'!K5</f>
        <v>estimate</v>
      </c>
      <c r="L5" s="4" t="str">
        <f>'PS INPUTS'!L5</f>
        <v>estimate</v>
      </c>
      <c r="M5" s="4" t="str">
        <f>'PS INPUTS'!M5</f>
        <v>estimate</v>
      </c>
      <c r="N5" s="4" t="str">
        <f>'PS INPUTS'!N5</f>
        <v>estimate</v>
      </c>
      <c r="O5" s="7"/>
    </row>
    <row r="6" spans="1:19" s="4" customFormat="1" x14ac:dyDescent="0.2">
      <c r="A6" s="4" t="s">
        <v>32</v>
      </c>
    </row>
    <row r="8" spans="1:19" x14ac:dyDescent="0.2">
      <c r="A8" s="68" t="s">
        <v>132</v>
      </c>
      <c r="C8" s="3">
        <f>C16+C21+C26+C32</f>
        <v>579789.59055680002</v>
      </c>
      <c r="D8" s="3">
        <f t="shared" ref="D8:N8" si="0">D16+D21+D26+D32</f>
        <v>1134278.8153724</v>
      </c>
      <c r="E8" s="3">
        <f t="shared" si="0"/>
        <v>2141649.7747463998</v>
      </c>
      <c r="F8" s="3">
        <f t="shared" si="0"/>
        <v>3212398.1109427996</v>
      </c>
      <c r="G8" s="3">
        <f t="shared" si="0"/>
        <v>2357335.1295087999</v>
      </c>
      <c r="H8" s="3">
        <f t="shared" si="0"/>
        <v>2153706.7298899996</v>
      </c>
      <c r="I8" s="3">
        <f t="shared" si="0"/>
        <v>1958704.5771911999</v>
      </c>
      <c r="J8" s="3">
        <f t="shared" si="0"/>
        <v>879072.24406657461</v>
      </c>
      <c r="K8" s="3">
        <f t="shared" si="0"/>
        <v>667256.10769744695</v>
      </c>
      <c r="L8" s="3">
        <f t="shared" si="0"/>
        <v>566668.5747229259</v>
      </c>
      <c r="M8" s="3">
        <f t="shared" si="0"/>
        <v>543813.07748225797</v>
      </c>
      <c r="N8" s="3">
        <f t="shared" si="0"/>
        <v>552616.69088410656</v>
      </c>
      <c r="O8" s="3">
        <f>SUM(C8:N8)</f>
        <v>16747289.42306171</v>
      </c>
    </row>
    <row r="9" spans="1:19" x14ac:dyDescent="0.2">
      <c r="C9" s="3"/>
      <c r="D9" s="3"/>
      <c r="E9" s="3"/>
      <c r="F9" s="3"/>
      <c r="G9" s="3"/>
      <c r="H9" s="3"/>
      <c r="I9" s="3"/>
      <c r="J9" s="3"/>
      <c r="K9" s="3"/>
      <c r="L9" s="3"/>
    </row>
    <row r="11" spans="1:19" x14ac:dyDescent="0.2">
      <c r="A11" s="68" t="s">
        <v>31</v>
      </c>
    </row>
    <row r="13" spans="1:19" x14ac:dyDescent="0.2">
      <c r="A13" s="50" t="s">
        <v>0</v>
      </c>
    </row>
    <row r="14" spans="1:19" x14ac:dyDescent="0.2">
      <c r="A14" s="1" t="s">
        <v>34</v>
      </c>
      <c r="C14" s="2">
        <v>24779509</v>
      </c>
      <c r="D14" s="2">
        <v>67692585</v>
      </c>
      <c r="E14" s="2">
        <v>119292949</v>
      </c>
      <c r="F14" s="2">
        <v>140248226</v>
      </c>
      <c r="G14" s="2">
        <v>89983765</v>
      </c>
      <c r="H14" s="2">
        <v>106014206</v>
      </c>
      <c r="I14" s="2">
        <v>63455549</v>
      </c>
      <c r="J14" s="433">
        <v>26846978.366954219</v>
      </c>
      <c r="K14" s="433">
        <v>19796627.071912915</v>
      </c>
      <c r="L14" s="433">
        <v>19491488.95109839</v>
      </c>
      <c r="M14" s="433">
        <v>19243414.987425141</v>
      </c>
      <c r="N14" s="433">
        <v>18825522.685339082</v>
      </c>
      <c r="O14" s="55">
        <f>SUM(C14:N14)</f>
        <v>715670821.06272972</v>
      </c>
      <c r="P14" s="12"/>
      <c r="Q14" s="12"/>
      <c r="R14" s="12"/>
      <c r="S14" s="12"/>
    </row>
    <row r="15" spans="1:19" x14ac:dyDescent="0.2">
      <c r="A15" s="1" t="s">
        <v>38</v>
      </c>
      <c r="C15" s="434">
        <v>3.5999999999999999E-3</v>
      </c>
      <c r="D15" s="434">
        <v>3.5999999999999999E-3</v>
      </c>
      <c r="E15" s="434">
        <v>3.5999999999999999E-3</v>
      </c>
      <c r="F15" s="434">
        <v>3.5999999999999999E-3</v>
      </c>
      <c r="G15" s="434">
        <v>3.5999999999999999E-3</v>
      </c>
      <c r="H15" s="434">
        <v>3.5999999999999999E-3</v>
      </c>
      <c r="I15" s="434">
        <v>3.5999999999999999E-3</v>
      </c>
      <c r="J15" s="434">
        <v>3.5999999999999999E-3</v>
      </c>
      <c r="K15" s="434">
        <v>3.5999999999999999E-3</v>
      </c>
      <c r="L15" s="434">
        <v>3.5999999999999999E-3</v>
      </c>
      <c r="M15" s="434">
        <v>3.5999999999999999E-3</v>
      </c>
      <c r="N15" s="434">
        <v>3.5999999999999999E-3</v>
      </c>
      <c r="O15" s="65"/>
      <c r="P15" s="12"/>
      <c r="Q15" s="12"/>
      <c r="R15" s="12"/>
      <c r="S15" s="12"/>
    </row>
    <row r="16" spans="1:19" x14ac:dyDescent="0.2">
      <c r="A16" s="1" t="s">
        <v>35</v>
      </c>
      <c r="C16" s="463">
        <f>C14*C15</f>
        <v>89206.232399999994</v>
      </c>
      <c r="D16" s="463">
        <f>D14*D15</f>
        <v>243693.30599999998</v>
      </c>
      <c r="E16" s="463">
        <f t="shared" ref="E16:N16" si="1">E14*E15</f>
        <v>429454.6164</v>
      </c>
      <c r="F16" s="463">
        <f t="shared" si="1"/>
        <v>504893.61359999998</v>
      </c>
      <c r="G16" s="463">
        <f t="shared" si="1"/>
        <v>323941.554</v>
      </c>
      <c r="H16" s="463">
        <f t="shared" si="1"/>
        <v>381651.14159999997</v>
      </c>
      <c r="I16" s="463">
        <f t="shared" si="1"/>
        <v>228439.97639999999</v>
      </c>
      <c r="J16" s="463">
        <f t="shared" si="1"/>
        <v>96649.12212103518</v>
      </c>
      <c r="K16" s="463">
        <f t="shared" si="1"/>
        <v>71267.857458886487</v>
      </c>
      <c r="L16" s="463">
        <f t="shared" si="1"/>
        <v>70169.360223954209</v>
      </c>
      <c r="M16" s="463">
        <f t="shared" si="1"/>
        <v>69276.2939547305</v>
      </c>
      <c r="N16" s="463">
        <f t="shared" si="1"/>
        <v>67771.881667220689</v>
      </c>
      <c r="O16" s="22">
        <f>SUM(C16:N16)</f>
        <v>2576414.9558258266</v>
      </c>
      <c r="P16" s="12"/>
      <c r="Q16" s="12"/>
      <c r="R16" s="12"/>
      <c r="S16" s="12"/>
    </row>
    <row r="17" spans="1:25" x14ac:dyDescent="0.2">
      <c r="C17" s="12"/>
      <c r="D17" s="12"/>
      <c r="E17" s="12"/>
      <c r="F17" s="12"/>
      <c r="G17" s="490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</row>
    <row r="18" spans="1:25" x14ac:dyDescent="0.2">
      <c r="A18" s="50" t="s">
        <v>7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9"/>
      <c r="Q18" s="29"/>
      <c r="R18" s="29"/>
      <c r="S18" s="29"/>
      <c r="T18" s="15"/>
    </row>
    <row r="19" spans="1:25" x14ac:dyDescent="0.2">
      <c r="A19" s="1" t="s">
        <v>34</v>
      </c>
      <c r="C19" s="435">
        <v>22574281.629999995</v>
      </c>
      <c r="D19" s="435">
        <v>34242648.650000006</v>
      </c>
      <c r="E19" s="435">
        <v>60195185.660000004</v>
      </c>
      <c r="F19" s="435">
        <v>101095627.26000001</v>
      </c>
      <c r="G19" s="435">
        <v>80149234.229999989</v>
      </c>
      <c r="H19" s="435">
        <v>67738300.709999993</v>
      </c>
      <c r="I19" s="435">
        <v>65122019.529999986</v>
      </c>
      <c r="J19" s="435">
        <v>32285981.09598317</v>
      </c>
      <c r="K19" s="435">
        <v>24919725.732933443</v>
      </c>
      <c r="L19" s="435">
        <v>19461650.471936613</v>
      </c>
      <c r="M19" s="435">
        <v>22244028.202090982</v>
      </c>
      <c r="N19" s="435">
        <v>21612576.671357185</v>
      </c>
      <c r="O19" s="55">
        <f>SUM(C19:N19)</f>
        <v>551641259.84430122</v>
      </c>
      <c r="P19" s="120"/>
      <c r="Q19" s="120"/>
      <c r="R19" s="121"/>
      <c r="S19" s="121"/>
      <c r="T19" s="15"/>
    </row>
    <row r="20" spans="1:25" x14ac:dyDescent="0.2">
      <c r="A20" s="1" t="s">
        <v>38</v>
      </c>
      <c r="C20" s="161">
        <v>3.5999999999999999E-3</v>
      </c>
      <c r="D20" s="161">
        <v>3.5999999999999999E-3</v>
      </c>
      <c r="E20" s="161">
        <v>3.5999999999999999E-3</v>
      </c>
      <c r="F20" s="161">
        <v>3.5999999999999999E-3</v>
      </c>
      <c r="G20" s="161">
        <v>3.5999999999999999E-3</v>
      </c>
      <c r="H20" s="161">
        <v>3.5999999999999999E-3</v>
      </c>
      <c r="I20" s="161">
        <v>3.5999999999999999E-3</v>
      </c>
      <c r="J20" s="161">
        <v>3.5999999999999999E-3</v>
      </c>
      <c r="K20" s="161">
        <v>3.5999999999999999E-3</v>
      </c>
      <c r="L20" s="161">
        <v>3.5999999999999999E-3</v>
      </c>
      <c r="M20" s="161">
        <v>3.5999999999999999E-3</v>
      </c>
      <c r="N20" s="161">
        <v>3.5999999999999999E-3</v>
      </c>
      <c r="O20" s="161"/>
      <c r="P20" s="122"/>
      <c r="Q20" s="122"/>
      <c r="R20" s="122"/>
      <c r="S20" s="122"/>
      <c r="T20" s="15"/>
    </row>
    <row r="21" spans="1:25" x14ac:dyDescent="0.2">
      <c r="A21" s="1" t="s">
        <v>35</v>
      </c>
      <c r="C21" s="463">
        <v>87185.75</v>
      </c>
      <c r="D21" s="463">
        <v>113860.95</v>
      </c>
      <c r="E21" s="463">
        <v>207837.46</v>
      </c>
      <c r="F21" s="463">
        <v>356019.29</v>
      </c>
      <c r="G21" s="463">
        <v>286360.82</v>
      </c>
      <c r="H21" s="463">
        <v>238470.35</v>
      </c>
      <c r="I21" s="463">
        <v>223941.41</v>
      </c>
      <c r="J21" s="463">
        <f t="shared" ref="J21:N21" si="2">J19*J20</f>
        <v>116229.53194553941</v>
      </c>
      <c r="K21" s="463">
        <f t="shared" si="2"/>
        <v>89711.012638560394</v>
      </c>
      <c r="L21" s="463">
        <f t="shared" si="2"/>
        <v>70061.941698971801</v>
      </c>
      <c r="M21" s="463">
        <f t="shared" si="2"/>
        <v>80078.501527527536</v>
      </c>
      <c r="N21" s="463">
        <f t="shared" si="2"/>
        <v>77805.276016885866</v>
      </c>
      <c r="O21" s="22">
        <f>SUM(C21:N21)</f>
        <v>1947562.2938274853</v>
      </c>
      <c r="P21" s="123"/>
      <c r="Q21" s="123"/>
      <c r="R21" s="123"/>
      <c r="S21" s="123"/>
      <c r="T21" s="15"/>
    </row>
    <row r="22" spans="1:25" x14ac:dyDescent="0.2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25" x14ac:dyDescent="0.2">
      <c r="A23" s="50" t="s">
        <v>36</v>
      </c>
      <c r="D23" s="12"/>
      <c r="E23" s="12"/>
      <c r="F23" s="12"/>
      <c r="G23" s="12"/>
      <c r="H23" s="12"/>
      <c r="I23" s="12"/>
      <c r="J23" s="32"/>
      <c r="K23" s="32"/>
      <c r="L23" s="32"/>
      <c r="M23" s="32"/>
      <c r="N23" s="32"/>
      <c r="O23" s="12"/>
      <c r="P23" s="12"/>
      <c r="Q23" s="12"/>
      <c r="R23" s="12"/>
      <c r="S23" s="12"/>
    </row>
    <row r="24" spans="1:25" x14ac:dyDescent="0.2">
      <c r="A24" s="1" t="s">
        <v>34</v>
      </c>
      <c r="C24" s="5">
        <f>'PS INPUTS'!C49</f>
        <v>87863574.488000005</v>
      </c>
      <c r="D24" s="5">
        <f>'PS INPUTS'!D49</f>
        <v>182199058.15900004</v>
      </c>
      <c r="E24" s="5">
        <f>'PS INPUTS'!E49</f>
        <v>362299082.87400001</v>
      </c>
      <c r="F24" s="5">
        <f>'PS INPUTS'!F49</f>
        <v>554759185.37299991</v>
      </c>
      <c r="G24" s="5">
        <f>'PS INPUTS'!G49</f>
        <v>412014004.30799997</v>
      </c>
      <c r="H24" s="5">
        <f>'PS INPUTS'!H49</f>
        <v>361748399.52499998</v>
      </c>
      <c r="I24" s="5">
        <f>'PS INPUTS'!I49</f>
        <v>357869497.44199997</v>
      </c>
      <c r="J24" s="5">
        <f>'PS INPUTS'!J49</f>
        <v>156433685</v>
      </c>
      <c r="K24" s="5">
        <f>'PS INPUTS'!K49</f>
        <v>122570765</v>
      </c>
      <c r="L24" s="5">
        <f>'PS INPUTS'!L49</f>
        <v>101481597</v>
      </c>
      <c r="M24" s="5">
        <f>'PS INPUTS'!M49</f>
        <v>92528706</v>
      </c>
      <c r="N24" s="5">
        <f>'PS INPUTS'!N49</f>
        <v>96492555</v>
      </c>
      <c r="O24" s="55">
        <f>SUM(C24:N24)</f>
        <v>2888260110.1690001</v>
      </c>
      <c r="P24" s="12"/>
      <c r="Q24" s="12"/>
      <c r="R24" s="12"/>
      <c r="S24" s="12"/>
    </row>
    <row r="25" spans="1:25" x14ac:dyDescent="0.2">
      <c r="A25" s="1" t="s">
        <v>38</v>
      </c>
      <c r="C25" s="436">
        <f>'PS INPUTS'!C50</f>
        <v>3.5999999999999999E-3</v>
      </c>
      <c r="D25" s="436">
        <f>'PS INPUTS'!D50</f>
        <v>3.5999999999999999E-3</v>
      </c>
      <c r="E25" s="436">
        <f>'PS INPUTS'!E50</f>
        <v>3.5999999999999999E-3</v>
      </c>
      <c r="F25" s="436">
        <f>'PS INPUTS'!F50</f>
        <v>3.5999999999999999E-3</v>
      </c>
      <c r="G25" s="436">
        <f>'PS INPUTS'!G50</f>
        <v>3.5999999999999999E-3</v>
      </c>
      <c r="H25" s="436">
        <f>'PS INPUTS'!H50</f>
        <v>3.5999999999999999E-3</v>
      </c>
      <c r="I25" s="436">
        <f>'PS INPUTS'!I50</f>
        <v>3.5999999999999999E-3</v>
      </c>
      <c r="J25" s="436">
        <f>'PS INPUTS'!J50</f>
        <v>3.5999999999999999E-3</v>
      </c>
      <c r="K25" s="436">
        <f>'PS INPUTS'!K50</f>
        <v>3.5999999999999999E-3</v>
      </c>
      <c r="L25" s="436">
        <f>'PS INPUTS'!L50</f>
        <v>3.5999999999999999E-3</v>
      </c>
      <c r="M25" s="436">
        <f>'PS INPUTS'!M50</f>
        <v>3.5999999999999999E-3</v>
      </c>
      <c r="N25" s="436">
        <f>'PS INPUTS'!N50</f>
        <v>3.5999999999999999E-3</v>
      </c>
      <c r="O25" s="65"/>
      <c r="P25" s="12"/>
      <c r="Q25" s="12"/>
      <c r="R25" s="12"/>
      <c r="S25" s="12"/>
    </row>
    <row r="26" spans="1:25" x14ac:dyDescent="0.2">
      <c r="A26" s="1" t="s">
        <v>35</v>
      </c>
      <c r="C26" s="11">
        <f>C24*C25</f>
        <v>316308.86815679999</v>
      </c>
      <c r="D26" s="11">
        <f t="shared" ref="D26:H26" si="3">D24*D25</f>
        <v>655916.6093724001</v>
      </c>
      <c r="E26" s="11">
        <f t="shared" si="3"/>
        <v>1304276.6983463999</v>
      </c>
      <c r="F26" s="11">
        <f t="shared" si="3"/>
        <v>1997133.0673427996</v>
      </c>
      <c r="G26" s="11">
        <f t="shared" si="3"/>
        <v>1483250.4155088</v>
      </c>
      <c r="H26" s="11">
        <f t="shared" si="3"/>
        <v>1302294.2382899998</v>
      </c>
      <c r="I26" s="11">
        <f t="shared" ref="I26:J26" si="4">I24*I25</f>
        <v>1288330.1907911999</v>
      </c>
      <c r="J26" s="11">
        <f t="shared" si="4"/>
        <v>563161.26599999995</v>
      </c>
      <c r="K26" s="11">
        <f t="shared" ref="K26:N26" si="5">K24*K25</f>
        <v>441254.75400000002</v>
      </c>
      <c r="L26" s="11">
        <f t="shared" si="5"/>
        <v>365333.74919999996</v>
      </c>
      <c r="M26" s="11">
        <f t="shared" si="5"/>
        <v>333103.34159999999</v>
      </c>
      <c r="N26" s="11">
        <f t="shared" si="5"/>
        <v>347373.19799999997</v>
      </c>
      <c r="O26" s="22">
        <f>SUM(C26:N26)</f>
        <v>10397736.396608401</v>
      </c>
      <c r="P26" s="12"/>
      <c r="Q26" s="12"/>
      <c r="R26" s="12"/>
      <c r="S26" s="12"/>
    </row>
    <row r="27" spans="1:25" x14ac:dyDescent="0.2">
      <c r="C27" s="12"/>
      <c r="D27" s="12"/>
      <c r="E27" s="12"/>
      <c r="F27" s="22"/>
      <c r="G27" s="22"/>
      <c r="H27" s="22"/>
      <c r="I27" s="22"/>
      <c r="J27" s="22"/>
      <c r="K27" s="22"/>
      <c r="L27" s="12"/>
      <c r="M27" s="12"/>
      <c r="N27" s="12"/>
      <c r="O27" s="12"/>
      <c r="P27" s="12"/>
      <c r="Q27" s="12"/>
      <c r="R27" s="12"/>
      <c r="S27" s="12"/>
    </row>
    <row r="28" spans="1:25" x14ac:dyDescent="0.2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25" x14ac:dyDescent="0.2">
      <c r="A29" s="50" t="s">
        <v>87</v>
      </c>
      <c r="P29" s="12"/>
      <c r="Q29" s="12"/>
      <c r="R29" s="12"/>
      <c r="S29" s="12"/>
    </row>
    <row r="30" spans="1:25" x14ac:dyDescent="0.2">
      <c r="A30" s="1" t="s">
        <v>34</v>
      </c>
      <c r="B30" s="16"/>
      <c r="C30" s="430">
        <v>19075248.84</v>
      </c>
      <c r="D30" s="430">
        <v>34317698.57</v>
      </c>
      <c r="E30" s="430">
        <v>54220712.750000007</v>
      </c>
      <c r="F30" s="430">
        <v>99596109.520000011</v>
      </c>
      <c r="G30" s="430">
        <v>73734065.489999995</v>
      </c>
      <c r="H30" s="430">
        <v>64592103</v>
      </c>
      <c r="I30" s="430">
        <v>61021878</v>
      </c>
      <c r="J30" s="430">
        <v>28620090</v>
      </c>
      <c r="K30" s="430">
        <v>18061801</v>
      </c>
      <c r="L30" s="430">
        <v>16973201</v>
      </c>
      <c r="M30" s="430">
        <v>17043039</v>
      </c>
      <c r="N30" s="430">
        <v>16573982</v>
      </c>
      <c r="O30" s="55">
        <f>SUM(C30:N30)</f>
        <v>503829929.17000002</v>
      </c>
      <c r="P30" s="12"/>
      <c r="Q30" s="12"/>
      <c r="R30" s="12"/>
      <c r="S30" s="12"/>
    </row>
    <row r="31" spans="1:25" x14ac:dyDescent="0.2">
      <c r="A31" s="1" t="s">
        <v>38</v>
      </c>
      <c r="B31" s="16"/>
      <c r="C31" s="161">
        <v>3.5999999999999999E-3</v>
      </c>
      <c r="D31" s="161">
        <v>3.5999999999999999E-3</v>
      </c>
      <c r="E31" s="161">
        <v>3.5999999999999999E-3</v>
      </c>
      <c r="F31" s="161">
        <v>3.5999999999999999E-3</v>
      </c>
      <c r="G31" s="161">
        <v>3.5999999999999999E-3</v>
      </c>
      <c r="H31" s="161">
        <v>3.5999999999999999E-3</v>
      </c>
      <c r="I31" s="161">
        <v>3.5999999999999999E-3</v>
      </c>
      <c r="J31" s="161">
        <v>3.5999999999999999E-3</v>
      </c>
      <c r="K31" s="161">
        <v>3.5999999999999999E-3</v>
      </c>
      <c r="L31" s="161">
        <v>3.5999999999999999E-3</v>
      </c>
      <c r="M31" s="161">
        <v>3.5999999999999999E-3</v>
      </c>
      <c r="N31" s="161">
        <v>3.5999999999999999E-3</v>
      </c>
      <c r="O31" s="370"/>
      <c r="P31" s="12"/>
      <c r="Q31" s="12"/>
      <c r="R31" s="12"/>
      <c r="S31" s="12"/>
    </row>
    <row r="32" spans="1:25" x14ac:dyDescent="0.2">
      <c r="A32" s="1" t="s">
        <v>35</v>
      </c>
      <c r="B32" s="16"/>
      <c r="C32" s="396">
        <v>87088.74</v>
      </c>
      <c r="D32" s="396">
        <v>120807.95</v>
      </c>
      <c r="E32" s="396">
        <v>200081</v>
      </c>
      <c r="F32" s="396">
        <v>354352.14</v>
      </c>
      <c r="G32" s="396">
        <v>263782.34000000003</v>
      </c>
      <c r="H32" s="396">
        <v>231291</v>
      </c>
      <c r="I32" s="396">
        <v>217993</v>
      </c>
      <c r="J32" s="437">
        <f>J31*J30</f>
        <v>103032.32399999999</v>
      </c>
      <c r="K32" s="437">
        <f t="shared" ref="K32:N32" si="6">K31*K30</f>
        <v>65022.4836</v>
      </c>
      <c r="L32" s="437">
        <f t="shared" si="6"/>
        <v>61103.5236</v>
      </c>
      <c r="M32" s="437">
        <f t="shared" si="6"/>
        <v>61354.940399999999</v>
      </c>
      <c r="N32" s="437">
        <f t="shared" si="6"/>
        <v>59666.335200000001</v>
      </c>
      <c r="O32" s="22">
        <f>SUM(C32:N32)</f>
        <v>1825575.7768000001</v>
      </c>
      <c r="P32" s="12"/>
      <c r="Q32" s="12"/>
      <c r="R32" s="12"/>
      <c r="S32" s="12"/>
    </row>
    <row r="33" spans="1:19" x14ac:dyDescent="0.2">
      <c r="A33" s="92"/>
      <c r="C33" s="22"/>
      <c r="D33" s="22"/>
      <c r="E33" s="22"/>
      <c r="F33" s="22"/>
      <c r="G33" s="22"/>
      <c r="H33" s="22"/>
      <c r="I33" s="22"/>
      <c r="J33" s="22"/>
      <c r="K33" s="22"/>
      <c r="L33" s="12"/>
      <c r="M33" s="12"/>
      <c r="N33" s="12"/>
      <c r="O33" s="12"/>
      <c r="P33" s="12"/>
      <c r="Q33" s="12"/>
      <c r="R33" s="12"/>
      <c r="S33" s="12"/>
    </row>
    <row r="34" spans="1:19" ht="17.25" customHeight="1" x14ac:dyDescent="0.2">
      <c r="A34" s="12"/>
      <c r="C34" s="12"/>
      <c r="D34" s="12"/>
      <c r="E34" s="22"/>
      <c r="F34" s="12"/>
      <c r="G34" s="12"/>
      <c r="H34" s="491"/>
      <c r="I34" s="491"/>
      <c r="J34" s="491"/>
      <c r="K34" s="491"/>
      <c r="L34" s="491"/>
      <c r="M34" s="491"/>
      <c r="N34" s="491"/>
      <c r="O34" s="491"/>
      <c r="P34" s="12"/>
      <c r="Q34" s="12"/>
      <c r="R34" s="12"/>
      <c r="S34" s="12"/>
    </row>
    <row r="35" spans="1:19" x14ac:dyDescent="0.2">
      <c r="C35" s="12"/>
      <c r="D35" s="12"/>
      <c r="E35" s="22"/>
      <c r="F35" s="12"/>
      <c r="G35" s="12"/>
      <c r="H35" s="400"/>
      <c r="I35" s="400"/>
      <c r="J35" s="400"/>
      <c r="K35" s="400"/>
      <c r="L35" s="400"/>
      <c r="M35" s="400"/>
      <c r="N35" s="400"/>
      <c r="O35" s="400"/>
      <c r="P35" s="12"/>
      <c r="Q35" s="12"/>
      <c r="R35" s="12"/>
      <c r="S35" s="12"/>
    </row>
    <row r="36" spans="1:19" x14ac:dyDescent="0.2">
      <c r="B36" s="23"/>
      <c r="D36" s="88"/>
      <c r="F36" s="93"/>
      <c r="G36" s="86"/>
      <c r="H36" s="12"/>
      <c r="I36" s="94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x14ac:dyDescent="0.2">
      <c r="C37" s="12"/>
      <c r="D37" s="12"/>
      <c r="E37" s="12"/>
      <c r="F37" s="12"/>
      <c r="G37" s="12"/>
      <c r="H37" s="2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x14ac:dyDescent="0.2">
      <c r="C38" s="1" t="s">
        <v>139</v>
      </c>
      <c r="D38" s="12"/>
      <c r="E38" s="12"/>
      <c r="F38" s="12"/>
      <c r="G38" s="12"/>
      <c r="H38" s="2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x14ac:dyDescent="0.2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x14ac:dyDescent="0.2">
      <c r="P40" s="12"/>
      <c r="Q40" s="12"/>
      <c r="R40" s="12"/>
      <c r="S40" s="12"/>
    </row>
    <row r="41" spans="1:19" x14ac:dyDescent="0.2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x14ac:dyDescent="0.2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x14ac:dyDescent="0.2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x14ac:dyDescent="0.2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x14ac:dyDescent="0.2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x14ac:dyDescent="0.2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x14ac:dyDescent="0.2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x14ac:dyDescent="0.2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3:19" x14ac:dyDescent="0.2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3:19" x14ac:dyDescent="0.2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3:19" x14ac:dyDescent="0.2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3:19" x14ac:dyDescent="0.2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3:19" x14ac:dyDescent="0.2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3:19" x14ac:dyDescent="0.2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3:19" x14ac:dyDescent="0.2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3:19" x14ac:dyDescent="0.2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3:19" x14ac:dyDescent="0.2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3:19" x14ac:dyDescent="0.2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3:19" x14ac:dyDescent="0.2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3:19" x14ac:dyDescent="0.2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</sheetData>
  <mergeCells count="2">
    <mergeCell ref="G17:Y17"/>
    <mergeCell ref="H34:O34"/>
  </mergeCells>
  <phoneticPr fontId="0" type="noConversion"/>
  <printOptions horizontalCentered="1"/>
  <pageMargins left="0" right="0" top="1" bottom="1" header="0.4" footer="0.5"/>
  <pageSetup paperSize="5" scale="68" orientation="landscape" r:id="rId1"/>
  <headerFooter alignWithMargins="0">
    <oddFooter>&amp;R&amp;"Arial,Bold"&amp;11&amp;F
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outlinePr summaryBelow="0"/>
  </sheetPr>
  <dimension ref="A1:O104"/>
  <sheetViews>
    <sheetView zoomScaleNormal="100" workbookViewId="0">
      <pane xSplit="2" ySplit="5" topLeftCell="F6" activePane="bottomRight" state="frozen"/>
      <selection activeCell="C30" sqref="C29:C30"/>
      <selection pane="topRight" activeCell="C30" sqref="C29:C30"/>
      <selection pane="bottomLeft" activeCell="C30" sqref="C29:C30"/>
      <selection pane="bottomRight" activeCell="H38" sqref="H38"/>
    </sheetView>
  </sheetViews>
  <sheetFormatPr defaultRowHeight="12.75" outlineLevelRow="1" outlineLevelCol="1" x14ac:dyDescent="0.2"/>
  <cols>
    <col min="1" max="1" width="32.5703125" style="1" customWidth="1"/>
    <col min="2" max="2" width="7.28515625" style="1" customWidth="1"/>
    <col min="3" max="3" width="15.42578125" style="1" bestFit="1" customWidth="1" outlineLevel="1"/>
    <col min="4" max="4" width="15.5703125" style="1" bestFit="1" customWidth="1" outlineLevel="1"/>
    <col min="5" max="5" width="15.85546875" style="1" bestFit="1" customWidth="1" outlineLevel="1"/>
    <col min="6" max="6" width="14.5703125" style="1" customWidth="1" outlineLevel="1"/>
    <col min="7" max="7" width="14.28515625" style="1" customWidth="1" outlineLevel="1"/>
    <col min="8" max="8" width="17" style="1" customWidth="1" outlineLevel="1"/>
    <col min="9" max="9" width="14.28515625" style="1" customWidth="1" outlineLevel="1"/>
    <col min="10" max="10" width="17.28515625" style="1" customWidth="1" outlineLevel="1"/>
    <col min="11" max="11" width="16.28515625" style="1" customWidth="1" outlineLevel="1"/>
    <col min="12" max="12" width="17" style="1" bestFit="1" customWidth="1" outlineLevel="1"/>
    <col min="13" max="13" width="16.5703125" style="1" customWidth="1" outlineLevel="1"/>
    <col min="14" max="14" width="16.28515625" style="1" customWidth="1" outlineLevel="1"/>
    <col min="15" max="15" width="17.140625" style="1" customWidth="1"/>
    <col min="16" max="16384" width="9.140625" style="1"/>
  </cols>
  <sheetData>
    <row r="1" spans="1:15" x14ac:dyDescent="0.2">
      <c r="A1" s="68" t="s">
        <v>126</v>
      </c>
    </row>
    <row r="3" spans="1:15" s="4" customFormat="1" x14ac:dyDescent="0.2">
      <c r="C3" s="4" t="str">
        <f>'PS INPUTS'!C3</f>
        <v>October</v>
      </c>
      <c r="D3" s="4" t="str">
        <f>'PS INPUTS'!D3</f>
        <v>November</v>
      </c>
      <c r="E3" s="4" t="str">
        <f>'PS INPUTS'!E3</f>
        <v>December</v>
      </c>
      <c r="F3" s="4" t="str">
        <f>'PS INPUTS'!F3</f>
        <v>January</v>
      </c>
      <c r="G3" s="4" t="str">
        <f>'PS INPUTS'!G3</f>
        <v>February</v>
      </c>
      <c r="H3" s="4" t="str">
        <f>'PS INPUTS'!H3</f>
        <v>March</v>
      </c>
      <c r="I3" s="4" t="str">
        <f>'PS INPUTS'!I3</f>
        <v xml:space="preserve">April </v>
      </c>
      <c r="J3" s="4" t="str">
        <f>'PS INPUTS'!J3</f>
        <v>May</v>
      </c>
      <c r="K3" s="4" t="str">
        <f>'PS INPUTS'!K3</f>
        <v>June</v>
      </c>
      <c r="L3" s="4" t="str">
        <f>'PS INPUTS'!L3</f>
        <v>July</v>
      </c>
      <c r="M3" s="4" t="str">
        <f>'PS INPUTS'!M3</f>
        <v>August</v>
      </c>
      <c r="N3" s="4" t="str">
        <f>'PS INPUTS'!N3</f>
        <v>September</v>
      </c>
      <c r="O3" s="7" t="s">
        <v>1</v>
      </c>
    </row>
    <row r="4" spans="1:15" s="4" customFormat="1" x14ac:dyDescent="0.2">
      <c r="C4" s="4">
        <f>'PS INPUTS'!C4</f>
        <v>2017</v>
      </c>
      <c r="D4" s="4">
        <f>'PS INPUTS'!D4</f>
        <v>2017</v>
      </c>
      <c r="E4" s="4">
        <f>'PS INPUTS'!E4</f>
        <v>2017</v>
      </c>
      <c r="F4" s="4">
        <f>'PS INPUTS'!F4</f>
        <v>2018</v>
      </c>
      <c r="G4" s="4">
        <f>'PS INPUTS'!G4</f>
        <v>2018</v>
      </c>
      <c r="H4" s="4">
        <f>'PS INPUTS'!H4</f>
        <v>2018</v>
      </c>
      <c r="I4" s="4">
        <f>'PS INPUTS'!I4</f>
        <v>2018</v>
      </c>
      <c r="J4" s="4">
        <f>'PS INPUTS'!J4</f>
        <v>2018</v>
      </c>
      <c r="K4" s="4">
        <f>'PS INPUTS'!K4</f>
        <v>2018</v>
      </c>
      <c r="L4" s="4">
        <f>'PS INPUTS'!L4</f>
        <v>2018</v>
      </c>
      <c r="M4" s="4">
        <f>'PS INPUTS'!M4</f>
        <v>2018</v>
      </c>
      <c r="N4" s="4">
        <f>'PS INPUTS'!N4</f>
        <v>2018</v>
      </c>
      <c r="O4" s="7"/>
    </row>
    <row r="5" spans="1:15" s="4" customFormat="1" x14ac:dyDescent="0.2">
      <c r="C5" s="4" t="str">
        <f>'PS INPUTS'!C5</f>
        <v>actual</v>
      </c>
      <c r="D5" s="4" t="str">
        <f>'PS INPUTS'!D5</f>
        <v>actual</v>
      </c>
      <c r="E5" s="4" t="str">
        <f>'PS INPUTS'!E5</f>
        <v>actual</v>
      </c>
      <c r="F5" s="4" t="str">
        <f>'PS INPUTS'!F5</f>
        <v>actual</v>
      </c>
      <c r="G5" s="4" t="str">
        <f>'PS INPUTS'!G5</f>
        <v>actual</v>
      </c>
      <c r="H5" s="4" t="str">
        <f>'PS INPUTS'!H5</f>
        <v>actual</v>
      </c>
      <c r="I5" s="4" t="str">
        <f>'PS INPUTS'!I5</f>
        <v>actual</v>
      </c>
      <c r="J5" s="4" t="str">
        <f>'PS INPUTS'!J5</f>
        <v>estimate</v>
      </c>
      <c r="K5" s="4" t="str">
        <f>'PS INPUTS'!K5</f>
        <v>estimate</v>
      </c>
      <c r="L5" s="4" t="str">
        <f>'PS INPUTS'!L5</f>
        <v>estimate</v>
      </c>
      <c r="M5" s="4" t="str">
        <f>'PS INPUTS'!M5</f>
        <v>estimate</v>
      </c>
      <c r="N5" s="4" t="str">
        <f>'PS INPUTS'!N5</f>
        <v>estimate</v>
      </c>
      <c r="O5" s="7"/>
    </row>
    <row r="6" spans="1:15" s="4" customFormat="1" x14ac:dyDescent="0.2">
      <c r="A6" s="4" t="s">
        <v>32</v>
      </c>
    </row>
    <row r="8" spans="1:15" x14ac:dyDescent="0.2">
      <c r="A8" s="68" t="s">
        <v>132</v>
      </c>
      <c r="B8" s="1" t="s">
        <v>5</v>
      </c>
      <c r="C8" s="39">
        <f t="shared" ref="C8:N8" si="0">C16+C21+C26+C32</f>
        <v>8722591.4108440001</v>
      </c>
      <c r="D8" s="39">
        <f t="shared" si="0"/>
        <v>7219754.9405779997</v>
      </c>
      <c r="E8" s="39">
        <f t="shared" si="0"/>
        <v>7987416.9328610003</v>
      </c>
      <c r="F8" s="39">
        <f t="shared" si="0"/>
        <v>9122797.6903630011</v>
      </c>
      <c r="G8" s="39">
        <f t="shared" si="0"/>
        <v>8219874.4571390003</v>
      </c>
      <c r="H8" s="39">
        <f t="shared" si="0"/>
        <v>7484353.2756709997</v>
      </c>
      <c r="I8" s="39">
        <f>I16+I21+I26+I32</f>
        <v>7457641.0742640002</v>
      </c>
      <c r="J8" s="39">
        <f>J16+J21+J26+J32</f>
        <v>7174396.009271956</v>
      </c>
      <c r="K8" s="39">
        <f t="shared" si="0"/>
        <v>8589920.6838671248</v>
      </c>
      <c r="L8" s="39">
        <f t="shared" si="0"/>
        <v>10331192.111879054</v>
      </c>
      <c r="M8" s="39">
        <f t="shared" si="0"/>
        <v>10167156.399029143</v>
      </c>
      <c r="N8" s="39">
        <f t="shared" si="0"/>
        <v>8940996.5546748284</v>
      </c>
      <c r="O8" s="39">
        <f>SUM(C8:N8)</f>
        <v>101418091.54044211</v>
      </c>
    </row>
    <row r="9" spans="1:15" outlineLevel="1" x14ac:dyDescent="0.2">
      <c r="C9" s="39"/>
      <c r="D9" s="39"/>
      <c r="E9" s="39"/>
      <c r="F9" s="39"/>
      <c r="G9" s="39"/>
      <c r="H9" s="39"/>
      <c r="I9" s="39"/>
      <c r="J9" s="39"/>
      <c r="K9" s="39"/>
      <c r="L9" s="39"/>
      <c r="M9" s="16"/>
      <c r="N9" s="16"/>
      <c r="O9" s="16"/>
    </row>
    <row r="10" spans="1:15" outlineLevel="1" x14ac:dyDescent="0.2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39"/>
    </row>
    <row r="11" spans="1:15" outlineLevel="1" x14ac:dyDescent="0.2">
      <c r="A11" s="68" t="s">
        <v>31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outlineLevel="1" x14ac:dyDescent="0.2">
      <c r="C12" s="12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outlineLevel="1" x14ac:dyDescent="0.2">
      <c r="A13" s="50" t="s">
        <v>37</v>
      </c>
      <c r="C13" s="12"/>
      <c r="E13" s="16"/>
      <c r="F13" s="16"/>
      <c r="G13" s="16"/>
      <c r="H13" s="16"/>
      <c r="I13" s="16"/>
      <c r="J13" s="37"/>
      <c r="K13" s="37"/>
      <c r="L13" s="37"/>
      <c r="M13" s="37"/>
      <c r="N13" s="37"/>
      <c r="O13" s="16"/>
    </row>
    <row r="14" spans="1:15" outlineLevel="1" x14ac:dyDescent="0.2">
      <c r="A14" s="1" t="s">
        <v>34</v>
      </c>
      <c r="C14" s="5">
        <f>'PS INPUTS'!C44</f>
        <v>3300744084</v>
      </c>
      <c r="D14" s="5">
        <f>'PS INPUTS'!D44</f>
        <v>2989918695</v>
      </c>
      <c r="E14" s="5">
        <f>'PS INPUTS'!E44</f>
        <v>3404065757</v>
      </c>
      <c r="F14" s="5">
        <f>'PS INPUTS'!F44</f>
        <v>3698168496</v>
      </c>
      <c r="G14" s="5">
        <f>'PS INPUTS'!G44</f>
        <v>3335747512</v>
      </c>
      <c r="H14" s="5">
        <f>'PS INPUTS'!H44</f>
        <v>3107063535</v>
      </c>
      <c r="I14" s="5">
        <f>'PS INPUTS'!I44</f>
        <v>3126423120</v>
      </c>
      <c r="J14" s="5">
        <f>'PS INPUTS'!J44</f>
        <v>2915906704.0919876</v>
      </c>
      <c r="K14" s="5">
        <f>'PS INPUTS'!K44</f>
        <v>3518394181.7312179</v>
      </c>
      <c r="L14" s="5">
        <f>'PS INPUTS'!L44</f>
        <v>4210660795.6369905</v>
      </c>
      <c r="M14" s="5">
        <f>'PS INPUTS'!M44</f>
        <v>4178245410.6118913</v>
      </c>
      <c r="N14" s="5">
        <f>'PS INPUTS'!N44</f>
        <v>3812992131.4039016</v>
      </c>
      <c r="O14" s="55">
        <f>SUM(C14:N14)</f>
        <v>41598330422.475983</v>
      </c>
    </row>
    <row r="15" spans="1:15" outlineLevel="1" x14ac:dyDescent="0.2">
      <c r="A15" s="1" t="s">
        <v>33</v>
      </c>
      <c r="C15" s="16">
        <f>'USF Rate Calc'!E24</f>
        <v>1.3910000000000001E-3</v>
      </c>
      <c r="D15" s="16">
        <f>C15</f>
        <v>1.3910000000000001E-3</v>
      </c>
      <c r="E15" s="16">
        <f t="shared" ref="E15:N15" si="1">D15</f>
        <v>1.3910000000000001E-3</v>
      </c>
      <c r="F15" s="16">
        <f t="shared" si="1"/>
        <v>1.3910000000000001E-3</v>
      </c>
      <c r="G15" s="16">
        <f t="shared" si="1"/>
        <v>1.3910000000000001E-3</v>
      </c>
      <c r="H15" s="16">
        <f t="shared" si="1"/>
        <v>1.3910000000000001E-3</v>
      </c>
      <c r="I15" s="16">
        <f t="shared" si="1"/>
        <v>1.3910000000000001E-3</v>
      </c>
      <c r="J15" s="16">
        <f t="shared" si="1"/>
        <v>1.3910000000000001E-3</v>
      </c>
      <c r="K15" s="16">
        <f t="shared" si="1"/>
        <v>1.3910000000000001E-3</v>
      </c>
      <c r="L15" s="16">
        <f t="shared" si="1"/>
        <v>1.3910000000000001E-3</v>
      </c>
      <c r="M15" s="16">
        <f t="shared" si="1"/>
        <v>1.3910000000000001E-3</v>
      </c>
      <c r="N15" s="16">
        <f t="shared" si="1"/>
        <v>1.3910000000000001E-3</v>
      </c>
      <c r="O15" s="65"/>
    </row>
    <row r="16" spans="1:15" outlineLevel="1" x14ac:dyDescent="0.2">
      <c r="A16" s="1" t="s">
        <v>35</v>
      </c>
      <c r="C16" s="437">
        <f>C14*C15</f>
        <v>4591335.0208440004</v>
      </c>
      <c r="D16" s="437">
        <f t="shared" ref="D16:M16" si="2">D14*D15</f>
        <v>4158976.9047450004</v>
      </c>
      <c r="E16" s="437">
        <f t="shared" si="2"/>
        <v>4735055.467987</v>
      </c>
      <c r="F16" s="437">
        <f t="shared" si="2"/>
        <v>5144152.377936</v>
      </c>
      <c r="G16" s="437">
        <f t="shared" si="2"/>
        <v>4640024.7891920004</v>
      </c>
      <c r="H16" s="437">
        <f t="shared" si="2"/>
        <v>4321925.3771850001</v>
      </c>
      <c r="I16" s="437">
        <f t="shared" si="2"/>
        <v>4348854.5599199999</v>
      </c>
      <c r="J16" s="437">
        <f t="shared" si="2"/>
        <v>4056026.2253919551</v>
      </c>
      <c r="K16" s="437">
        <f t="shared" si="2"/>
        <v>4894086.3067881241</v>
      </c>
      <c r="L16" s="437">
        <f t="shared" si="2"/>
        <v>5857029.166731054</v>
      </c>
      <c r="M16" s="437">
        <f t="shared" si="2"/>
        <v>5811939.3661611415</v>
      </c>
      <c r="N16" s="437">
        <f>N14*N15</f>
        <v>5303872.0547828274</v>
      </c>
      <c r="O16" s="22">
        <f>SUM(C16:N16)</f>
        <v>57863277.617664106</v>
      </c>
    </row>
    <row r="17" spans="1:15" outlineLevel="1" x14ac:dyDescent="0.2">
      <c r="C17" s="12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2"/>
    </row>
    <row r="18" spans="1:15" outlineLevel="1" x14ac:dyDescent="0.2">
      <c r="A18" s="50" t="s">
        <v>2</v>
      </c>
      <c r="C18" s="12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2"/>
    </row>
    <row r="19" spans="1:15" outlineLevel="1" x14ac:dyDescent="0.2">
      <c r="A19" s="1" t="s">
        <v>34</v>
      </c>
      <c r="C19" s="433">
        <v>1660957850</v>
      </c>
      <c r="D19" s="433">
        <v>1454394580</v>
      </c>
      <c r="E19" s="433">
        <v>1574536138</v>
      </c>
      <c r="F19" s="433">
        <v>1914483280</v>
      </c>
      <c r="G19" s="433">
        <v>1735294023</v>
      </c>
      <c r="H19" s="433">
        <v>1515268904</v>
      </c>
      <c r="I19" s="433">
        <v>1499897780</v>
      </c>
      <c r="J19" s="433">
        <v>1544952731</v>
      </c>
      <c r="K19" s="433">
        <v>1833880463</v>
      </c>
      <c r="L19" s="433">
        <v>2172648350</v>
      </c>
      <c r="M19" s="433">
        <v>2057897383</v>
      </c>
      <c r="N19" s="433">
        <v>1637078031</v>
      </c>
      <c r="O19" s="55">
        <f>SUM(C19:N19)</f>
        <v>20601289513</v>
      </c>
    </row>
    <row r="20" spans="1:15" outlineLevel="1" x14ac:dyDescent="0.2">
      <c r="A20" s="1" t="s">
        <v>33</v>
      </c>
      <c r="C20" s="438">
        <v>1.3910000000000001E-3</v>
      </c>
      <c r="D20" s="438">
        <v>1.3910000000000001E-3</v>
      </c>
      <c r="E20" s="438">
        <v>1.3910000000000001E-3</v>
      </c>
      <c r="F20" s="438">
        <v>1.3910000000000001E-3</v>
      </c>
      <c r="G20" s="438">
        <v>1.3910000000000001E-3</v>
      </c>
      <c r="H20" s="438">
        <v>1.3910000000000001E-3</v>
      </c>
      <c r="I20" s="438">
        <v>1.3910000000000001E-3</v>
      </c>
      <c r="J20" s="438">
        <v>1.3910000000000001E-3</v>
      </c>
      <c r="K20" s="438">
        <v>1.3910000000000001E-3</v>
      </c>
      <c r="L20" s="438">
        <v>1.3910000000000001E-3</v>
      </c>
      <c r="M20" s="438">
        <v>1.3910000000000001E-3</v>
      </c>
      <c r="N20" s="438">
        <v>1.3910000000000001E-3</v>
      </c>
      <c r="O20" s="65"/>
    </row>
    <row r="21" spans="1:15" outlineLevel="1" x14ac:dyDescent="0.2">
      <c r="A21" s="1" t="s">
        <v>110</v>
      </c>
      <c r="C21" s="38">
        <v>2755659.03</v>
      </c>
      <c r="D21" s="38">
        <v>2034789.09</v>
      </c>
      <c r="E21" s="38">
        <v>2189648.08</v>
      </c>
      <c r="F21" s="38">
        <v>2665287.06</v>
      </c>
      <c r="G21" s="38">
        <v>2441536.59</v>
      </c>
      <c r="H21" s="38">
        <v>2107702.33</v>
      </c>
      <c r="I21" s="38">
        <v>2085701.88</v>
      </c>
      <c r="J21" s="437">
        <f t="shared" ref="J21:N21" si="3">J19*J20</f>
        <v>2149029.2488210001</v>
      </c>
      <c r="K21" s="437">
        <f t="shared" si="3"/>
        <v>2550927.7240329999</v>
      </c>
      <c r="L21" s="437">
        <f t="shared" si="3"/>
        <v>3022153.8548500002</v>
      </c>
      <c r="M21" s="437">
        <f t="shared" si="3"/>
        <v>2862535.259753</v>
      </c>
      <c r="N21" s="437">
        <f t="shared" si="3"/>
        <v>2277175.541121</v>
      </c>
      <c r="O21" s="22">
        <f>SUM(C21:N21)</f>
        <v>29142145.688577998</v>
      </c>
    </row>
    <row r="22" spans="1:15" outlineLevel="1" x14ac:dyDescent="0.2">
      <c r="C22" s="38"/>
      <c r="D22" s="38"/>
      <c r="E22" s="38"/>
      <c r="F22" s="38"/>
      <c r="G22" s="38"/>
      <c r="H22" s="38"/>
      <c r="I22" s="38"/>
      <c r="J22" s="16"/>
      <c r="K22" s="16"/>
      <c r="L22" s="16"/>
      <c r="M22" s="16"/>
      <c r="N22" s="16"/>
      <c r="O22" s="12"/>
    </row>
    <row r="23" spans="1:15" outlineLevel="1" x14ac:dyDescent="0.2">
      <c r="A23" s="50" t="s">
        <v>86</v>
      </c>
      <c r="C23" s="12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2"/>
    </row>
    <row r="24" spans="1:15" outlineLevel="1" x14ac:dyDescent="0.2">
      <c r="A24" s="1" t="s">
        <v>34</v>
      </c>
      <c r="C24" s="439">
        <v>681086539</v>
      </c>
      <c r="D24" s="439">
        <v>625007820</v>
      </c>
      <c r="E24" s="439">
        <v>640777580</v>
      </c>
      <c r="F24" s="439">
        <v>806672616</v>
      </c>
      <c r="G24" s="439">
        <v>693035655</v>
      </c>
      <c r="H24" s="439">
        <v>643936005</v>
      </c>
      <c r="I24" s="439">
        <v>625019320</v>
      </c>
      <c r="J24" s="476">
        <v>586455922</v>
      </c>
      <c r="K24" s="476">
        <v>712671679</v>
      </c>
      <c r="L24" s="476">
        <v>933449851</v>
      </c>
      <c r="M24" s="476">
        <v>962689738</v>
      </c>
      <c r="N24" s="476">
        <v>867267154</v>
      </c>
      <c r="O24" s="55">
        <f>SUM(C24:N24)</f>
        <v>8778069879</v>
      </c>
    </row>
    <row r="25" spans="1:15" outlineLevel="1" x14ac:dyDescent="0.2">
      <c r="A25" s="1" t="s">
        <v>33</v>
      </c>
      <c r="C25" s="16">
        <v>1.3910000000000001E-3</v>
      </c>
      <c r="D25" s="16">
        <f>C25</f>
        <v>1.3910000000000001E-3</v>
      </c>
      <c r="E25" s="16">
        <f t="shared" ref="E25:I25" si="4">D25</f>
        <v>1.3910000000000001E-3</v>
      </c>
      <c r="F25" s="16">
        <f t="shared" si="4"/>
        <v>1.3910000000000001E-3</v>
      </c>
      <c r="G25" s="16">
        <f t="shared" si="4"/>
        <v>1.3910000000000001E-3</v>
      </c>
      <c r="H25" s="16">
        <f t="shared" si="4"/>
        <v>1.3910000000000001E-3</v>
      </c>
      <c r="I25" s="16">
        <f t="shared" si="4"/>
        <v>1.3910000000000001E-3</v>
      </c>
      <c r="J25" s="16">
        <f t="shared" ref="J25:N25" si="5">J20</f>
        <v>1.3910000000000001E-3</v>
      </c>
      <c r="K25" s="16">
        <f t="shared" si="5"/>
        <v>1.3910000000000001E-3</v>
      </c>
      <c r="L25" s="16">
        <f t="shared" si="5"/>
        <v>1.3910000000000001E-3</v>
      </c>
      <c r="M25" s="16">
        <f t="shared" si="5"/>
        <v>1.3910000000000001E-3</v>
      </c>
      <c r="N25" s="16">
        <f t="shared" si="5"/>
        <v>1.3910000000000001E-3</v>
      </c>
      <c r="O25" s="65"/>
    </row>
    <row r="26" spans="1:15" outlineLevel="1" x14ac:dyDescent="0.2">
      <c r="A26" s="1" t="s">
        <v>35</v>
      </c>
      <c r="C26" s="437">
        <v>1160853.3600000001</v>
      </c>
      <c r="D26" s="437">
        <v>870599.97</v>
      </c>
      <c r="E26" s="437">
        <v>890925.7</v>
      </c>
      <c r="F26" s="437">
        <v>1120492.49</v>
      </c>
      <c r="G26" s="437">
        <v>960533.1</v>
      </c>
      <c r="H26" s="437">
        <v>898447.35</v>
      </c>
      <c r="I26" s="437">
        <v>869111.25</v>
      </c>
      <c r="J26" s="437">
        <f t="shared" ref="J26:M26" si="6">J24*J25</f>
        <v>815760.18750200002</v>
      </c>
      <c r="K26" s="437">
        <f t="shared" si="6"/>
        <v>991326.30548900005</v>
      </c>
      <c r="L26" s="437">
        <f t="shared" si="6"/>
        <v>1298428.7427410001</v>
      </c>
      <c r="M26" s="437">
        <f t="shared" si="6"/>
        <v>1339101.4255580001</v>
      </c>
      <c r="N26" s="437">
        <f>N24*N25</f>
        <v>1206368.611214</v>
      </c>
      <c r="O26" s="22">
        <f>SUM(C26:N26)</f>
        <v>12421948.492504001</v>
      </c>
    </row>
    <row r="27" spans="1:15" outlineLevel="1" x14ac:dyDescent="0.2">
      <c r="C27" s="16"/>
      <c r="D27" s="16"/>
      <c r="E27" s="16"/>
      <c r="F27" s="39"/>
      <c r="G27" s="39"/>
      <c r="H27" s="39"/>
      <c r="I27" s="39"/>
      <c r="J27" s="39"/>
      <c r="K27" s="39"/>
      <c r="L27" s="16"/>
      <c r="M27" s="16"/>
      <c r="N27" s="16"/>
      <c r="O27" s="12"/>
    </row>
    <row r="28" spans="1:15" outlineLevel="1" x14ac:dyDescent="0.2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2"/>
    </row>
    <row r="29" spans="1:15" outlineLevel="1" x14ac:dyDescent="0.2">
      <c r="A29" s="50" t="s">
        <v>8</v>
      </c>
      <c r="C29" s="12"/>
      <c r="D29" s="16"/>
      <c r="E29" s="16"/>
      <c r="F29" s="58"/>
      <c r="G29" s="58"/>
      <c r="H29" s="58"/>
      <c r="I29" s="58"/>
      <c r="J29" s="58"/>
      <c r="K29" s="58"/>
      <c r="L29" s="16"/>
      <c r="M29" s="16"/>
      <c r="N29" s="16"/>
      <c r="O29" s="12"/>
    </row>
    <row r="30" spans="1:15" s="6" customFormat="1" outlineLevel="1" x14ac:dyDescent="0.2">
      <c r="A30" s="6" t="s">
        <v>34</v>
      </c>
      <c r="C30" s="440">
        <v>133681058</v>
      </c>
      <c r="D30" s="440">
        <v>111710263</v>
      </c>
      <c r="E30" s="440">
        <v>123499414</v>
      </c>
      <c r="F30" s="440">
        <v>138652597</v>
      </c>
      <c r="G30" s="440">
        <v>127807317</v>
      </c>
      <c r="H30" s="440">
        <v>112349546</v>
      </c>
      <c r="I30" s="440">
        <v>110692584</v>
      </c>
      <c r="J30" s="440">
        <v>110410027</v>
      </c>
      <c r="K30" s="440">
        <v>110410027</v>
      </c>
      <c r="L30" s="440">
        <v>110410027</v>
      </c>
      <c r="M30" s="440">
        <v>110410027</v>
      </c>
      <c r="N30" s="440">
        <v>110410027</v>
      </c>
      <c r="O30" s="55">
        <f>SUM(C30:N30)</f>
        <v>1410442914</v>
      </c>
    </row>
    <row r="31" spans="1:15" outlineLevel="1" x14ac:dyDescent="0.2">
      <c r="A31" s="1" t="s">
        <v>33</v>
      </c>
      <c r="C31" s="16">
        <v>1.3910000000000001E-3</v>
      </c>
      <c r="D31" s="16">
        <f>C31</f>
        <v>1.3910000000000001E-3</v>
      </c>
      <c r="E31" s="16">
        <f>D31</f>
        <v>1.3910000000000001E-3</v>
      </c>
      <c r="F31" s="16">
        <f t="shared" ref="F31:I31" si="7">E31</f>
        <v>1.3910000000000001E-3</v>
      </c>
      <c r="G31" s="16">
        <f t="shared" si="7"/>
        <v>1.3910000000000001E-3</v>
      </c>
      <c r="H31" s="16">
        <f t="shared" si="7"/>
        <v>1.3910000000000001E-3</v>
      </c>
      <c r="I31" s="16">
        <f t="shared" si="7"/>
        <v>1.3910000000000001E-3</v>
      </c>
      <c r="J31" s="16">
        <f t="shared" ref="J31:N31" si="8">J25</f>
        <v>1.3910000000000001E-3</v>
      </c>
      <c r="K31" s="16">
        <f t="shared" si="8"/>
        <v>1.3910000000000001E-3</v>
      </c>
      <c r="L31" s="16">
        <f t="shared" si="8"/>
        <v>1.3910000000000001E-3</v>
      </c>
      <c r="M31" s="16">
        <f t="shared" si="8"/>
        <v>1.3910000000000001E-3</v>
      </c>
      <c r="N31" s="16">
        <f t="shared" si="8"/>
        <v>1.3910000000000001E-3</v>
      </c>
      <c r="O31" s="65"/>
    </row>
    <row r="32" spans="1:15" outlineLevel="1" x14ac:dyDescent="0.2">
      <c r="A32" s="1" t="s">
        <v>35</v>
      </c>
      <c r="C32" s="437">
        <v>214744</v>
      </c>
      <c r="D32" s="437">
        <f t="shared" ref="D32:I32" si="9">D30*D31</f>
        <v>155388.975833</v>
      </c>
      <c r="E32" s="437">
        <f t="shared" si="9"/>
        <v>171787.684874</v>
      </c>
      <c r="F32" s="437">
        <f t="shared" si="9"/>
        <v>192865.76242700001</v>
      </c>
      <c r="G32" s="437">
        <f t="shared" si="9"/>
        <v>177779.97794700001</v>
      </c>
      <c r="H32" s="437">
        <f t="shared" si="9"/>
        <v>156278.218486</v>
      </c>
      <c r="I32" s="437">
        <f t="shared" si="9"/>
        <v>153973.38434400002</v>
      </c>
      <c r="J32" s="11">
        <f t="shared" ref="J32:N32" si="10">J30*J31</f>
        <v>153580.347557</v>
      </c>
      <c r="K32" s="11">
        <f t="shared" si="10"/>
        <v>153580.347557</v>
      </c>
      <c r="L32" s="11">
        <f t="shared" si="10"/>
        <v>153580.347557</v>
      </c>
      <c r="M32" s="11">
        <f t="shared" si="10"/>
        <v>153580.347557</v>
      </c>
      <c r="N32" s="11">
        <f t="shared" si="10"/>
        <v>153580.347557</v>
      </c>
      <c r="O32" s="22">
        <f>SUM(C32:N32)</f>
        <v>1990719.7416959996</v>
      </c>
    </row>
    <row r="33" spans="1:15" x14ac:dyDescent="0.2">
      <c r="C33" s="16"/>
      <c r="D33" s="16"/>
      <c r="E33" s="16"/>
      <c r="F33" s="39"/>
      <c r="G33" s="39"/>
      <c r="H33" s="39"/>
      <c r="I33" s="39"/>
      <c r="J33" s="39"/>
      <c r="K33" s="39"/>
      <c r="L33" s="37"/>
      <c r="M33" s="16"/>
      <c r="N33" s="16"/>
      <c r="O33" s="16"/>
    </row>
    <row r="34" spans="1:15" x14ac:dyDescent="0.2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x14ac:dyDescent="0.2">
      <c r="A35" s="1" t="s">
        <v>128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x14ac:dyDescent="0.2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x14ac:dyDescent="0.2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x14ac:dyDescent="0.2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x14ac:dyDescent="0.2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x14ac:dyDescent="0.2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x14ac:dyDescent="0.2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x14ac:dyDescent="0.2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x14ac:dyDescent="0.2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x14ac:dyDescent="0.2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x14ac:dyDescent="0.2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x14ac:dyDescent="0.2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x14ac:dyDescent="0.2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3:15" x14ac:dyDescent="0.2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3:15" x14ac:dyDescent="0.2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3:15" x14ac:dyDescent="0.2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3:15" x14ac:dyDescent="0.2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3:15" x14ac:dyDescent="0.2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3:15" x14ac:dyDescent="0.2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3:15" x14ac:dyDescent="0.2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3:15" x14ac:dyDescent="0.2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3:15" x14ac:dyDescent="0.2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3:15" x14ac:dyDescent="0.2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3:15" x14ac:dyDescent="0.2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3:15" x14ac:dyDescent="0.2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3:15" x14ac:dyDescent="0.2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3:15" x14ac:dyDescent="0.2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3:15" x14ac:dyDescent="0.2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3:15" x14ac:dyDescent="0.2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3:15" x14ac:dyDescent="0.2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3:15" x14ac:dyDescent="0.2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3:15" x14ac:dyDescent="0.2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3:15" x14ac:dyDescent="0.2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3:15" x14ac:dyDescent="0.2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3:15" x14ac:dyDescent="0.2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3:15" x14ac:dyDescent="0.2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3:15" x14ac:dyDescent="0.2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3:15" x14ac:dyDescent="0.2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3:15" x14ac:dyDescent="0.2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3:15" x14ac:dyDescent="0.2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3:15" x14ac:dyDescent="0.2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3:15" x14ac:dyDescent="0.2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3:15" x14ac:dyDescent="0.2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3:15" x14ac:dyDescent="0.2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3:15" x14ac:dyDescent="0.2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3:15" x14ac:dyDescent="0.2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3:15" x14ac:dyDescent="0.2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3:15" x14ac:dyDescent="0.2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3:15" x14ac:dyDescent="0.2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3:15" x14ac:dyDescent="0.2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3:15" x14ac:dyDescent="0.2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3:15" x14ac:dyDescent="0.2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3:15" x14ac:dyDescent="0.2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3:15" x14ac:dyDescent="0.2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3:15" x14ac:dyDescent="0.2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3:15" x14ac:dyDescent="0.2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3:15" x14ac:dyDescent="0.2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3:15" x14ac:dyDescent="0.2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3:15" x14ac:dyDescent="0.2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3:15" x14ac:dyDescent="0.2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3:15" x14ac:dyDescent="0.2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3:15" x14ac:dyDescent="0.2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3:15" x14ac:dyDescent="0.2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3:15" x14ac:dyDescent="0.2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3:15" x14ac:dyDescent="0.2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3:15" x14ac:dyDescent="0.2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3:15" x14ac:dyDescent="0.2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3:15" x14ac:dyDescent="0.2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3:15" x14ac:dyDescent="0.2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</sheetData>
  <phoneticPr fontId="0" type="noConversion"/>
  <printOptions horizontalCentered="1"/>
  <pageMargins left="0" right="0" top="1" bottom="1" header="0.4" footer="0.5"/>
  <pageSetup paperSize="5" scale="70" orientation="landscape" r:id="rId1"/>
  <headerFooter alignWithMargins="0">
    <oddHeader xml:space="preserve">&amp;R&amp;"Arial,Bold"&amp;12
</oddHeader>
    <oddFooter>&amp;R&amp;"Arial,Bold"&amp;11&amp;F
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U56"/>
  <sheetViews>
    <sheetView topLeftCell="A11" zoomScaleNormal="100" workbookViewId="0">
      <selection activeCell="C24" sqref="C24"/>
    </sheetView>
  </sheetViews>
  <sheetFormatPr defaultRowHeight="12.75" x14ac:dyDescent="0.2"/>
  <cols>
    <col min="1" max="1" width="9.140625" style="1" customWidth="1"/>
    <col min="2" max="4" width="12.7109375" style="1" customWidth="1"/>
    <col min="5" max="5" width="12.140625" style="1" customWidth="1"/>
    <col min="6" max="7" width="12.7109375" style="1" customWidth="1"/>
    <col min="8" max="8" width="13" style="1" bestFit="1" customWidth="1"/>
    <col min="9" max="9" width="5.28515625" style="1" customWidth="1"/>
    <col min="10" max="10" width="4.85546875" style="1" customWidth="1"/>
    <col min="11" max="11" width="4.7109375" style="1" customWidth="1"/>
    <col min="12" max="22" width="12.7109375" style="1" customWidth="1"/>
    <col min="23" max="16384" width="9.140625" style="1"/>
  </cols>
  <sheetData>
    <row r="1" spans="2:11" x14ac:dyDescent="0.2">
      <c r="B1" s="112"/>
    </row>
    <row r="2" spans="2:11" ht="15" x14ac:dyDescent="0.25">
      <c r="B2" s="113" t="s">
        <v>133</v>
      </c>
      <c r="C2" s="15"/>
      <c r="D2" s="15"/>
      <c r="E2" s="15"/>
      <c r="F2" s="15"/>
    </row>
    <row r="4" spans="2:11" x14ac:dyDescent="0.2">
      <c r="C4" s="4"/>
      <c r="D4" s="4" t="str">
        <f>'PS INPUTS'!J3</f>
        <v>May</v>
      </c>
      <c r="E4" s="4" t="str">
        <f>'PS INPUTS'!K3</f>
        <v>June</v>
      </c>
      <c r="F4" s="4" t="str">
        <f>'PS INPUTS'!L3</f>
        <v>July</v>
      </c>
      <c r="G4" s="4" t="str">
        <f>'PS INPUTS'!M3</f>
        <v>August</v>
      </c>
      <c r="H4" s="4" t="str">
        <f>'PS INPUTS'!N3</f>
        <v>September</v>
      </c>
      <c r="I4" s="4"/>
      <c r="J4" s="4"/>
      <c r="K4" s="4"/>
    </row>
    <row r="5" spans="2:11" x14ac:dyDescent="0.2">
      <c r="C5" s="4"/>
      <c r="D5" s="4">
        <f>'PS INPUTS'!J4</f>
        <v>2018</v>
      </c>
      <c r="E5" s="4">
        <f>'PS INPUTS'!K4</f>
        <v>2018</v>
      </c>
      <c r="F5" s="4">
        <f>'PS INPUTS'!L4</f>
        <v>2018</v>
      </c>
      <c r="G5" s="4">
        <f>'PS INPUTS'!M4</f>
        <v>2018</v>
      </c>
      <c r="H5" s="4">
        <f>'PS INPUTS'!N4</f>
        <v>2018</v>
      </c>
      <c r="I5" s="4"/>
      <c r="J5" s="4"/>
      <c r="K5" s="4"/>
    </row>
    <row r="6" spans="2:11" x14ac:dyDescent="0.2">
      <c r="C6" s="4"/>
      <c r="D6" s="4" t="s">
        <v>30</v>
      </c>
      <c r="E6" s="4" t="str">
        <f>'PS INPUTS'!K5</f>
        <v>estimate</v>
      </c>
      <c r="F6" s="4" t="str">
        <f>'PS INPUTS'!L5</f>
        <v>estimate</v>
      </c>
      <c r="G6" s="4" t="str">
        <f>'PS INPUTS'!M5</f>
        <v>estimate</v>
      </c>
      <c r="H6" s="4" t="str">
        <f>'PS INPUTS'!N5</f>
        <v>estimate</v>
      </c>
      <c r="I6" s="4"/>
      <c r="J6" s="4"/>
      <c r="K6" s="4"/>
    </row>
    <row r="7" spans="2:11" x14ac:dyDescent="0.2">
      <c r="C7" s="4"/>
      <c r="D7" s="4"/>
      <c r="E7" s="4"/>
      <c r="F7" s="4"/>
    </row>
    <row r="8" spans="2:11" x14ac:dyDescent="0.2">
      <c r="B8" s="68" t="s">
        <v>3</v>
      </c>
      <c r="D8" s="12"/>
    </row>
    <row r="9" spans="2:11" x14ac:dyDescent="0.2">
      <c r="B9" s="1" t="s">
        <v>0</v>
      </c>
      <c r="C9" s="3"/>
      <c r="D9" s="3">
        <v>274782.26</v>
      </c>
      <c r="E9" s="3">
        <f t="shared" ref="E9:E12" si="0">(N34/N$38)*D$38</f>
        <v>110929.53594132893</v>
      </c>
      <c r="F9" s="3">
        <f t="shared" ref="F9:H12" si="1">(O34/O$38)*E$38</f>
        <v>84200.599985374545</v>
      </c>
      <c r="G9" s="3">
        <f t="shared" ref="G9:G12" si="2">(P34/P$38)*F$38</f>
        <v>71507.526771358127</v>
      </c>
      <c r="H9" s="3">
        <f>(Q34/Q$38)*G$38</f>
        <v>68623.40692827545</v>
      </c>
      <c r="I9" s="3"/>
      <c r="J9" s="3"/>
      <c r="K9" s="3"/>
    </row>
    <row r="10" spans="2:11" x14ac:dyDescent="0.2">
      <c r="B10" s="1" t="s">
        <v>7</v>
      </c>
      <c r="C10" s="3"/>
      <c r="D10" s="3">
        <v>260634.12</v>
      </c>
      <c r="E10" s="3">
        <f t="shared" si="0"/>
        <v>113462.36566841826</v>
      </c>
      <c r="F10" s="3">
        <f t="shared" si="1"/>
        <v>86123.133789126427</v>
      </c>
      <c r="G10" s="3">
        <f t="shared" si="2"/>
        <v>73140.242422606549</v>
      </c>
      <c r="H10" s="3">
        <f>(Q35/Q$38)*G$38</f>
        <v>70190.270104679745</v>
      </c>
      <c r="I10" s="3"/>
      <c r="J10" s="3"/>
      <c r="K10" s="3"/>
    </row>
    <row r="11" spans="2:11" x14ac:dyDescent="0.2">
      <c r="B11" s="1" t="s">
        <v>6</v>
      </c>
      <c r="C11" s="3"/>
      <c r="D11" s="3">
        <f>'PS INPUTS'!J75</f>
        <v>1485059</v>
      </c>
      <c r="E11" s="3">
        <f t="shared" si="0"/>
        <v>600357.08513179922</v>
      </c>
      <c r="F11" s="3">
        <f t="shared" si="1"/>
        <v>455698.5328082901</v>
      </c>
      <c r="G11" s="3">
        <f t="shared" si="1"/>
        <v>387002.88406635483</v>
      </c>
      <c r="H11" s="3">
        <f t="shared" si="1"/>
        <v>371393.86012633139</v>
      </c>
      <c r="I11" s="3"/>
      <c r="J11" s="3"/>
      <c r="K11" s="3"/>
    </row>
    <row r="12" spans="2:11" x14ac:dyDescent="0.2">
      <c r="B12" s="1" t="s">
        <v>87</v>
      </c>
      <c r="C12" s="3"/>
      <c r="D12" s="3">
        <v>133231.35999999999</v>
      </c>
      <c r="E12" s="3">
        <f t="shared" si="0"/>
        <v>54323.257325028142</v>
      </c>
      <c r="F12" s="3">
        <f t="shared" si="1"/>
        <v>41233.84111465585</v>
      </c>
      <c r="G12" s="3">
        <f t="shared" si="2"/>
        <v>35017.921462606362</v>
      </c>
      <c r="H12" s="3">
        <f>(Q37/Q$38)*G$38</f>
        <v>33605.540322971334</v>
      </c>
      <c r="I12" s="3"/>
      <c r="J12" s="3"/>
      <c r="K12" s="3"/>
    </row>
    <row r="13" spans="2:11" x14ac:dyDescent="0.2">
      <c r="C13" s="3"/>
      <c r="D13" s="3">
        <f>SUM(D9:D12)</f>
        <v>2153706.7399999998</v>
      </c>
      <c r="E13" s="3">
        <f>SUM(E9:E12)</f>
        <v>879072.24406657461</v>
      </c>
      <c r="F13" s="3">
        <f>SUM(F9:F12)</f>
        <v>667256.10769744683</v>
      </c>
      <c r="G13" s="3">
        <f>SUM(G9:G12)</f>
        <v>566668.5747229259</v>
      </c>
      <c r="H13" s="3">
        <f>SUM(H9:H12)</f>
        <v>543813.07748225785</v>
      </c>
      <c r="I13" s="3"/>
      <c r="J13" s="3"/>
      <c r="K13" s="3"/>
    </row>
    <row r="14" spans="2:11" x14ac:dyDescent="0.2">
      <c r="B14" s="68" t="s">
        <v>4</v>
      </c>
    </row>
    <row r="15" spans="2:11" x14ac:dyDescent="0.2">
      <c r="B15" s="1" t="s">
        <v>6</v>
      </c>
      <c r="C15" s="3"/>
      <c r="D15" s="3">
        <f>'PS INPUTS'!J63</f>
        <v>4624480</v>
      </c>
      <c r="E15" s="3">
        <f t="shared" ref="E15" si="3">(N41/N$45)*D$45</f>
        <v>4414980.7508129571</v>
      </c>
      <c r="F15" s="3">
        <f t="shared" ref="F15" si="4">(O41/O$45)*E$45</f>
        <v>5286066.5094694039</v>
      </c>
      <c r="G15" s="3">
        <f t="shared" ref="G15" si="5">(P41/P$45)*F$45</f>
        <v>6357610.347679331</v>
      </c>
      <c r="H15" s="3">
        <f t="shared" ref="H15" si="6">(Q41/Q$45)*G$45</f>
        <v>6256666.0293363947</v>
      </c>
      <c r="I15" s="3"/>
      <c r="J15" s="3"/>
      <c r="K15" s="3"/>
    </row>
    <row r="16" spans="2:11" x14ac:dyDescent="0.2">
      <c r="B16" s="1" t="s">
        <v>2</v>
      </c>
      <c r="C16" s="3"/>
      <c r="D16" s="3">
        <v>1081226.95</v>
      </c>
      <c r="E16" s="3">
        <f t="shared" ref="E16:E18" si="7">(N42/N$45)*D$45</f>
        <v>982939.81153820746</v>
      </c>
      <c r="F16" s="3">
        <f t="shared" ref="F16:F18" si="8">(O42/O$45)*E$45</f>
        <v>1176876.0753123411</v>
      </c>
      <c r="G16" s="3">
        <f t="shared" ref="G16:G18" si="9">(P42/P$45)*F$45</f>
        <v>1415441.8036433309</v>
      </c>
      <c r="H16" s="3">
        <f>(Q42/Q$45)*G$45</f>
        <v>1392967.8236085169</v>
      </c>
      <c r="I16" s="3"/>
      <c r="J16" s="3"/>
      <c r="K16" s="3"/>
    </row>
    <row r="17" spans="2:21" x14ac:dyDescent="0.2">
      <c r="B17" s="1" t="s">
        <v>85</v>
      </c>
      <c r="C17" s="3"/>
      <c r="D17" s="3">
        <v>1747423.33</v>
      </c>
      <c r="E17" s="3">
        <f t="shared" si="7"/>
        <v>1746530.3243399817</v>
      </c>
      <c r="F17" s="3">
        <f t="shared" si="8"/>
        <v>2091124.7356098478</v>
      </c>
      <c r="G17" s="3">
        <f t="shared" si="9"/>
        <v>2515018.725849485</v>
      </c>
      <c r="H17" s="3">
        <f>(Q43/Q$45)*G$45</f>
        <v>2475085.9780060649</v>
      </c>
      <c r="I17" s="3"/>
      <c r="J17" s="3"/>
      <c r="K17" s="3"/>
    </row>
    <row r="18" spans="2:21" x14ac:dyDescent="0.2">
      <c r="B18" s="1" t="s">
        <v>8</v>
      </c>
      <c r="C18" s="3"/>
      <c r="D18" s="3">
        <v>31223.17</v>
      </c>
      <c r="E18" s="3">
        <f t="shared" si="7"/>
        <v>29945.122580810541</v>
      </c>
      <c r="F18" s="3">
        <f t="shared" si="8"/>
        <v>35853.363475533013</v>
      </c>
      <c r="G18" s="3">
        <f t="shared" si="9"/>
        <v>43121.234706908152</v>
      </c>
      <c r="H18" s="3">
        <f>(Q44/Q$45)*G$45</f>
        <v>42436.568078167133</v>
      </c>
      <c r="I18" s="3"/>
      <c r="J18" s="3"/>
      <c r="K18" s="3"/>
    </row>
    <row r="19" spans="2:21" x14ac:dyDescent="0.2">
      <c r="C19" s="3"/>
      <c r="D19" s="3">
        <f>SUM(D15:D18)</f>
        <v>7484353.4500000002</v>
      </c>
      <c r="E19" s="3">
        <f>SUM(E15:E18)</f>
        <v>7174396.009271956</v>
      </c>
      <c r="F19" s="3">
        <f>SUM(F15:F18)</f>
        <v>8589920.6838671267</v>
      </c>
      <c r="G19" s="3">
        <f>SUM(G15:G18)</f>
        <v>10331192.111879054</v>
      </c>
      <c r="H19" s="3">
        <f>SUM(H15:H18)</f>
        <v>10167156.399029143</v>
      </c>
      <c r="I19" s="3"/>
      <c r="J19" s="3"/>
      <c r="K19" s="3"/>
    </row>
    <row r="20" spans="2:21" x14ac:dyDescent="0.2">
      <c r="C20" s="3"/>
      <c r="D20" s="3"/>
      <c r="E20" s="3"/>
      <c r="F20" s="3"/>
      <c r="G20" s="3"/>
      <c r="H20" s="3"/>
      <c r="I20" s="3"/>
      <c r="J20" s="3"/>
      <c r="K20" s="3"/>
    </row>
    <row r="21" spans="2:21" x14ac:dyDescent="0.2">
      <c r="B21" s="1" t="s">
        <v>81</v>
      </c>
      <c r="C21" s="3"/>
      <c r="D21" s="3">
        <f>D13+D19</f>
        <v>9638060.1899999995</v>
      </c>
      <c r="E21" s="3">
        <f>E13+E19</f>
        <v>8053468.2533385307</v>
      </c>
      <c r="F21" s="3">
        <f>F13+F19</f>
        <v>9257176.7915645726</v>
      </c>
      <c r="G21" s="3">
        <f>G13+G19</f>
        <v>10897860.68660198</v>
      </c>
      <c r="H21" s="3">
        <f>H13+H19</f>
        <v>10710969.4765114</v>
      </c>
      <c r="I21" s="3"/>
      <c r="J21" s="3"/>
      <c r="K21" s="3"/>
    </row>
    <row r="23" spans="2:21" x14ac:dyDescent="0.2">
      <c r="B23" s="13"/>
    </row>
    <row r="25" spans="2:21" ht="13.5" thickBot="1" x14ac:dyDescent="0.25">
      <c r="B25" s="13"/>
    </row>
    <row r="26" spans="2:21" ht="14.25" thickTop="1" thickBot="1" x14ac:dyDescent="0.25">
      <c r="B26" s="114" t="s">
        <v>135</v>
      </c>
      <c r="C26" s="115"/>
      <c r="D26" s="115"/>
      <c r="E26" s="115"/>
      <c r="F26" s="116"/>
    </row>
    <row r="27" spans="2:21" ht="13.5" thickTop="1" x14ac:dyDescent="0.2">
      <c r="B27" s="117"/>
      <c r="C27" s="15"/>
      <c r="D27" s="15"/>
      <c r="E27" s="15"/>
      <c r="F27" s="15"/>
    </row>
    <row r="28" spans="2:21" x14ac:dyDescent="0.2">
      <c r="B28" s="117"/>
      <c r="C28" s="4" t="str">
        <f>'PS INPUTS'!I3</f>
        <v xml:space="preserve">April </v>
      </c>
      <c r="D28" s="4" t="str">
        <f>'PS INPUTS'!J3</f>
        <v>May</v>
      </c>
      <c r="E28" s="4" t="str">
        <f>'PS INPUTS'!K3</f>
        <v>June</v>
      </c>
      <c r="F28" s="4" t="str">
        <f>'PS INPUTS'!L3</f>
        <v>July</v>
      </c>
      <c r="G28" s="4" t="str">
        <f>'PS INPUTS'!M3</f>
        <v>August</v>
      </c>
      <c r="H28" s="4" t="str">
        <f>'PS INPUTS'!N3</f>
        <v>September</v>
      </c>
      <c r="I28" s="4"/>
      <c r="J28" s="4"/>
      <c r="K28" s="4"/>
      <c r="M28" s="4" t="str">
        <f>C28</f>
        <v xml:space="preserve">April </v>
      </c>
      <c r="N28" s="4" t="str">
        <f t="shared" ref="N28:R30" si="10">D28</f>
        <v>May</v>
      </c>
      <c r="O28" s="4" t="str">
        <f t="shared" si="10"/>
        <v>June</v>
      </c>
      <c r="P28" s="4" t="str">
        <f t="shared" si="10"/>
        <v>July</v>
      </c>
      <c r="Q28" s="4" t="str">
        <f t="shared" si="10"/>
        <v>August</v>
      </c>
      <c r="R28" s="4" t="str">
        <f t="shared" si="10"/>
        <v>September</v>
      </c>
      <c r="S28" s="4"/>
      <c r="T28" s="4"/>
      <c r="U28" s="4"/>
    </row>
    <row r="29" spans="2:21" x14ac:dyDescent="0.2">
      <c r="B29" s="117"/>
      <c r="C29" s="4">
        <f>'PS INPUTS'!I4</f>
        <v>2018</v>
      </c>
      <c r="D29" s="4">
        <f>'PS INPUTS'!J4</f>
        <v>2018</v>
      </c>
      <c r="E29" s="4">
        <f>'PS INPUTS'!K4</f>
        <v>2018</v>
      </c>
      <c r="F29" s="4">
        <f>'PS INPUTS'!L4</f>
        <v>2018</v>
      </c>
      <c r="G29" s="4">
        <f>'PS INPUTS'!M4</f>
        <v>2018</v>
      </c>
      <c r="H29" s="4">
        <f>'PS INPUTS'!N4</f>
        <v>2018</v>
      </c>
      <c r="I29" s="4"/>
      <c r="J29" s="4"/>
      <c r="K29" s="4"/>
      <c r="M29" s="4">
        <f t="shared" ref="M29:M30" si="11">C29</f>
        <v>2018</v>
      </c>
      <c r="N29" s="4">
        <f t="shared" si="10"/>
        <v>2018</v>
      </c>
      <c r="O29" s="4">
        <f t="shared" si="10"/>
        <v>2018</v>
      </c>
      <c r="P29" s="4">
        <f t="shared" si="10"/>
        <v>2018</v>
      </c>
      <c r="Q29" s="4">
        <f t="shared" si="10"/>
        <v>2018</v>
      </c>
      <c r="R29" s="4">
        <f t="shared" si="10"/>
        <v>2018</v>
      </c>
      <c r="S29" s="4"/>
      <c r="T29" s="4"/>
      <c r="U29" s="4"/>
    </row>
    <row r="30" spans="2:21" x14ac:dyDescent="0.2">
      <c r="B30" s="117"/>
      <c r="C30" s="4" t="str">
        <f>'PS INPUTS'!I5</f>
        <v>actual</v>
      </c>
      <c r="D30" s="4" t="str">
        <f>'PS INPUTS'!J5</f>
        <v>estimate</v>
      </c>
      <c r="E30" s="4" t="str">
        <f>'PS INPUTS'!K5</f>
        <v>estimate</v>
      </c>
      <c r="F30" s="4" t="str">
        <f>'PS INPUTS'!L5</f>
        <v>estimate</v>
      </c>
      <c r="G30" s="4" t="str">
        <f>'PS INPUTS'!M5</f>
        <v>estimate</v>
      </c>
      <c r="H30" s="4" t="str">
        <f>'PS INPUTS'!N5</f>
        <v>estimate</v>
      </c>
      <c r="I30" s="4"/>
      <c r="J30" s="4"/>
      <c r="K30" s="4"/>
      <c r="M30" s="4" t="str">
        <f t="shared" si="11"/>
        <v>actual</v>
      </c>
      <c r="N30" s="4" t="str">
        <f t="shared" si="10"/>
        <v>estimate</v>
      </c>
      <c r="O30" s="4" t="str">
        <f t="shared" si="10"/>
        <v>estimate</v>
      </c>
      <c r="P30" s="4" t="str">
        <f t="shared" si="10"/>
        <v>estimate</v>
      </c>
      <c r="Q30" s="4" t="str">
        <f t="shared" si="10"/>
        <v>estimate</v>
      </c>
      <c r="R30" s="4" t="str">
        <f t="shared" si="10"/>
        <v>estimate</v>
      </c>
      <c r="S30" s="4"/>
      <c r="T30" s="4"/>
      <c r="U30" s="4"/>
    </row>
    <row r="32" spans="2:21" x14ac:dyDescent="0.2">
      <c r="B32" s="118" t="s">
        <v>134</v>
      </c>
      <c r="C32" s="118"/>
      <c r="L32" s="118" t="s">
        <v>82</v>
      </c>
      <c r="M32" s="118"/>
    </row>
    <row r="33" spans="2:21" x14ac:dyDescent="0.2">
      <c r="B33" s="68" t="s">
        <v>3</v>
      </c>
      <c r="L33" s="68" t="s">
        <v>3</v>
      </c>
    </row>
    <row r="34" spans="2:21" x14ac:dyDescent="0.2">
      <c r="B34" s="1" t="s">
        <v>0</v>
      </c>
      <c r="C34" s="3">
        <f>'Gas Pmts to State'!I16</f>
        <v>228439.97639999999</v>
      </c>
      <c r="D34" s="3">
        <f>'Gas Pmts to State'!J16</f>
        <v>96649.12212103518</v>
      </c>
      <c r="E34" s="3">
        <f>'Gas Pmts to State'!K16</f>
        <v>71267.857458886487</v>
      </c>
      <c r="F34" s="3">
        <f>'Gas Pmts to State'!L16</f>
        <v>70169.360223954209</v>
      </c>
      <c r="G34" s="3">
        <f>'Gas Pmts to State'!M16</f>
        <v>69276.2939547305</v>
      </c>
      <c r="H34" s="3">
        <f>'Gas Pmts to State'!N16</f>
        <v>67771.881667220689</v>
      </c>
      <c r="I34" s="3"/>
      <c r="J34" s="3"/>
      <c r="K34" s="3"/>
      <c r="L34" s="1" t="s">
        <v>0</v>
      </c>
      <c r="M34" s="3">
        <f>'Gas State Recvd$ vs Costs'!J28+'Gas State Recvd$ vs Costs'!J29</f>
        <v>220483.87999999998</v>
      </c>
      <c r="N34" s="3">
        <f>'Gas State Recvd$ vs Costs'!K28+'Gas State Recvd$ vs Costs'!K29</f>
        <v>220483.87999999998</v>
      </c>
      <c r="O34" s="3">
        <f>'Gas State Recvd$ vs Costs'!L28+'Gas State Recvd$ vs Costs'!L29</f>
        <v>220483.87999999998</v>
      </c>
      <c r="P34" s="3">
        <f>'Gas State Recvd$ vs Costs'!M28+'Gas State Recvd$ vs Costs'!M29</f>
        <v>220483.87999999998</v>
      </c>
      <c r="Q34" s="3">
        <f>'Gas State Recvd$ vs Costs'!N28+'Gas State Recvd$ vs Costs'!N29</f>
        <v>220483.87999999998</v>
      </c>
      <c r="R34" s="3">
        <f>'Gas State Recvd$ vs Costs'!O28+'Gas State Recvd$ vs Costs'!O29</f>
        <v>220483.87999999998</v>
      </c>
      <c r="S34" s="3"/>
      <c r="T34" s="3"/>
      <c r="U34" s="3"/>
    </row>
    <row r="35" spans="2:21" x14ac:dyDescent="0.2">
      <c r="B35" s="1" t="s">
        <v>7</v>
      </c>
      <c r="C35" s="3">
        <f>'Gas Pmts to State'!I21</f>
        <v>223941.41</v>
      </c>
      <c r="D35" s="3">
        <f>'Gas Pmts to State'!J21</f>
        <v>116229.53194553941</v>
      </c>
      <c r="E35" s="3">
        <f>'Gas Pmts to State'!K21</f>
        <v>89711.012638560394</v>
      </c>
      <c r="F35" s="3">
        <f>'Gas Pmts to State'!L21</f>
        <v>70061.941698971801</v>
      </c>
      <c r="G35" s="3">
        <f>'Gas Pmts to State'!M21</f>
        <v>80078.501527527536</v>
      </c>
      <c r="H35" s="3">
        <f>'Gas Pmts to State'!N21</f>
        <v>77805.276016885866</v>
      </c>
      <c r="I35" s="3"/>
      <c r="J35" s="3"/>
      <c r="K35" s="3"/>
      <c r="L35" s="1" t="s">
        <v>7</v>
      </c>
      <c r="M35" s="3">
        <f>'Gas State Recvd$ vs Costs'!J44+'Gas State Recvd$ vs Costs'!J45</f>
        <v>225518.13999999998</v>
      </c>
      <c r="N35" s="3">
        <f>'Gas State Recvd$ vs Costs'!K44+'Gas State Recvd$ vs Costs'!K45</f>
        <v>225518.13999999998</v>
      </c>
      <c r="O35" s="3">
        <f>'Gas State Recvd$ vs Costs'!L44+'Gas State Recvd$ vs Costs'!L45</f>
        <v>225518.13999999998</v>
      </c>
      <c r="P35" s="3">
        <f>'Gas State Recvd$ vs Costs'!M44+'Gas State Recvd$ vs Costs'!M45</f>
        <v>225518.13999999998</v>
      </c>
      <c r="Q35" s="3">
        <f>'Gas State Recvd$ vs Costs'!N44+'Gas State Recvd$ vs Costs'!N45</f>
        <v>225518.13999999998</v>
      </c>
      <c r="R35" s="3">
        <f>'Gas State Recvd$ vs Costs'!O44+'Gas State Recvd$ vs Costs'!O45</f>
        <v>225518.13999999998</v>
      </c>
      <c r="S35" s="3"/>
      <c r="T35" s="3"/>
      <c r="U35" s="3"/>
    </row>
    <row r="36" spans="2:21" x14ac:dyDescent="0.2">
      <c r="B36" s="1" t="s">
        <v>6</v>
      </c>
      <c r="C36" s="3">
        <f>'Gas Pmts to State'!I26</f>
        <v>1288330.1907911999</v>
      </c>
      <c r="D36" s="3">
        <f>'Gas Pmts to State'!J26</f>
        <v>563161.26599999995</v>
      </c>
      <c r="E36" s="3">
        <f>'Gas Pmts to State'!K26</f>
        <v>441254.75400000002</v>
      </c>
      <c r="F36" s="3">
        <f>'Gas Pmts to State'!L26</f>
        <v>365333.74919999996</v>
      </c>
      <c r="G36" s="3">
        <f>'Gas Pmts to State'!M26</f>
        <v>333103.34159999999</v>
      </c>
      <c r="H36" s="3">
        <f>'Gas Pmts to State'!N26</f>
        <v>347373.19799999997</v>
      </c>
      <c r="I36" s="3"/>
      <c r="J36" s="3"/>
      <c r="K36" s="3"/>
      <c r="L36" s="1" t="s">
        <v>6</v>
      </c>
      <c r="M36" s="3">
        <f>'Gas State Recvd$ vs Costs'!J60+'Gas State Recvd$ vs Costs'!J61</f>
        <v>1193271.5520000001</v>
      </c>
      <c r="N36" s="3">
        <f>'Gas State Recvd$ vs Costs'!K60+'Gas State Recvd$ vs Costs'!K61</f>
        <v>1193271.5520000001</v>
      </c>
      <c r="O36" s="3">
        <f>'Gas State Recvd$ vs Costs'!L60+'Gas State Recvd$ vs Costs'!L61</f>
        <v>1193271.5520000001</v>
      </c>
      <c r="P36" s="3">
        <f>'Gas State Recvd$ vs Costs'!M60+'Gas State Recvd$ vs Costs'!M61</f>
        <v>1193271.5520000001</v>
      </c>
      <c r="Q36" s="3">
        <f>'Gas State Recvd$ vs Costs'!N60+'Gas State Recvd$ vs Costs'!N61</f>
        <v>1193271.5520000001</v>
      </c>
      <c r="R36" s="3">
        <f>'Gas State Recvd$ vs Costs'!O60+'Gas State Recvd$ vs Costs'!O61</f>
        <v>1193271.5520000001</v>
      </c>
      <c r="S36" s="3"/>
      <c r="T36" s="3"/>
      <c r="U36" s="3"/>
    </row>
    <row r="37" spans="2:21" x14ac:dyDescent="0.2">
      <c r="B37" s="1" t="s">
        <v>87</v>
      </c>
      <c r="C37" s="3">
        <f>'Gas Pmts to State'!I32</f>
        <v>217993</v>
      </c>
      <c r="D37" s="3">
        <f>'Gas Pmts to State'!J32</f>
        <v>103032.32399999999</v>
      </c>
      <c r="E37" s="3">
        <f>'Gas Pmts to State'!K32</f>
        <v>65022.4836</v>
      </c>
      <c r="F37" s="3">
        <f>'Gas Pmts to State'!L32</f>
        <v>61103.5236</v>
      </c>
      <c r="G37" s="3">
        <f>'Gas Pmts to State'!M32</f>
        <v>61354.940399999999</v>
      </c>
      <c r="H37" s="3">
        <f>'Gas Pmts to State'!N32</f>
        <v>59666.335200000001</v>
      </c>
      <c r="I37" s="3"/>
      <c r="J37" s="3"/>
      <c r="K37" s="3"/>
      <c r="L37" s="1" t="s">
        <v>87</v>
      </c>
      <c r="M37" s="3">
        <f>'Gas State Recvd$ vs Costs'!J76+'Gas State Recvd$ vs Costs'!J77</f>
        <v>107973.06999999999</v>
      </c>
      <c r="N37" s="3">
        <f>'Gas State Recvd$ vs Costs'!K76+'Gas State Recvd$ vs Costs'!K77</f>
        <v>107973.06999999999</v>
      </c>
      <c r="O37" s="3">
        <f>'Gas State Recvd$ vs Costs'!L76+'Gas State Recvd$ vs Costs'!L77</f>
        <v>107973.06999999999</v>
      </c>
      <c r="P37" s="3">
        <f>'Gas State Recvd$ vs Costs'!M76+'Gas State Recvd$ vs Costs'!M77</f>
        <v>107973.06999999999</v>
      </c>
      <c r="Q37" s="3">
        <f>'Gas State Recvd$ vs Costs'!N76+'Gas State Recvd$ vs Costs'!N77</f>
        <v>107973.06999999999</v>
      </c>
      <c r="R37" s="3">
        <f>'Gas State Recvd$ vs Costs'!O76+'Gas State Recvd$ vs Costs'!O77</f>
        <v>107973.06999999999</v>
      </c>
      <c r="S37" s="3"/>
      <c r="T37" s="3"/>
      <c r="U37" s="3"/>
    </row>
    <row r="38" spans="2:21" x14ac:dyDescent="0.2">
      <c r="B38" s="62" t="s">
        <v>79</v>
      </c>
      <c r="C38" s="3">
        <f t="shared" ref="C38:H38" si="12">SUM(C34:C37)</f>
        <v>1958704.5771911999</v>
      </c>
      <c r="D38" s="3">
        <f t="shared" si="12"/>
        <v>879072.24406657461</v>
      </c>
      <c r="E38" s="3">
        <f t="shared" si="12"/>
        <v>667256.10769744695</v>
      </c>
      <c r="F38" s="3">
        <f t="shared" si="12"/>
        <v>566668.5747229259</v>
      </c>
      <c r="G38" s="3">
        <f t="shared" si="12"/>
        <v>543813.07748225797</v>
      </c>
      <c r="H38" s="3">
        <f t="shared" si="12"/>
        <v>552616.69088410656</v>
      </c>
      <c r="I38" s="3"/>
      <c r="J38" s="3"/>
      <c r="K38" s="3"/>
      <c r="L38" s="62" t="s">
        <v>79</v>
      </c>
      <c r="M38" s="3">
        <f t="shared" ref="M38:R38" si="13">SUM(M34:M37)</f>
        <v>1747246.6420000002</v>
      </c>
      <c r="N38" s="3">
        <f t="shared" si="13"/>
        <v>1747246.6420000002</v>
      </c>
      <c r="O38" s="3">
        <f t="shared" si="13"/>
        <v>1747246.6420000002</v>
      </c>
      <c r="P38" s="3">
        <f t="shared" si="13"/>
        <v>1747246.6420000002</v>
      </c>
      <c r="Q38" s="3">
        <f t="shared" si="13"/>
        <v>1747246.6420000002</v>
      </c>
      <c r="R38" s="3">
        <f t="shared" si="13"/>
        <v>1747246.6420000002</v>
      </c>
      <c r="S38" s="3"/>
      <c r="T38" s="3"/>
      <c r="U38" s="3"/>
    </row>
    <row r="39" spans="2:21" x14ac:dyDescent="0.2">
      <c r="C39" s="5"/>
      <c r="D39" s="5"/>
      <c r="E39" s="5"/>
      <c r="F39" s="5"/>
      <c r="M39" s="3"/>
      <c r="N39" s="3"/>
      <c r="O39" s="3"/>
      <c r="P39" s="3"/>
    </row>
    <row r="40" spans="2:21" x14ac:dyDescent="0.2">
      <c r="B40" s="68" t="s">
        <v>4</v>
      </c>
      <c r="L40" s="68" t="s">
        <v>4</v>
      </c>
    </row>
    <row r="41" spans="2:21" x14ac:dyDescent="0.2">
      <c r="B41" s="1" t="s">
        <v>6</v>
      </c>
      <c r="C41" s="3">
        <f>'Elec  Pmts to State'!I16</f>
        <v>4348854.5599199999</v>
      </c>
      <c r="D41" s="3">
        <f>'Elec  Pmts to State'!J16</f>
        <v>4056026.2253919551</v>
      </c>
      <c r="E41" s="3">
        <f>'Elec  Pmts to State'!K16</f>
        <v>4894086.3067881241</v>
      </c>
      <c r="F41" s="3">
        <f>'Elec  Pmts to State'!L16</f>
        <v>5857029.166731054</v>
      </c>
      <c r="G41" s="3">
        <f>'Elec  Pmts to State'!M16</f>
        <v>5811939.3661611415</v>
      </c>
      <c r="H41" s="3">
        <f>'Elec  Pmts to State'!N16</f>
        <v>5303872.0547828274</v>
      </c>
      <c r="I41" s="3"/>
      <c r="J41" s="3"/>
      <c r="K41" s="3"/>
      <c r="L41" s="1" t="s">
        <v>6</v>
      </c>
      <c r="M41" s="3">
        <f>'Elec State Recvd$ vs Costs'!J28+'Elec State Recvd$ vs Costs'!J29</f>
        <v>5044502.8879999993</v>
      </c>
      <c r="N41" s="3">
        <f>'Elec State Recvd$ vs Costs'!K28+'Elec State Recvd$ vs Costs'!K29</f>
        <v>5044502.8879999993</v>
      </c>
      <c r="O41" s="3">
        <f>'Elec State Recvd$ vs Costs'!L28+'Elec State Recvd$ vs Costs'!L29</f>
        <v>5044502.8879999993</v>
      </c>
      <c r="P41" s="3">
        <f>'Elec State Recvd$ vs Costs'!M28+'Elec State Recvd$ vs Costs'!M29</f>
        <v>5044502.8879999993</v>
      </c>
      <c r="Q41" s="3">
        <f>'Elec State Recvd$ vs Costs'!N28+'Elec State Recvd$ vs Costs'!N29</f>
        <v>5044502.8879999993</v>
      </c>
      <c r="R41" s="3">
        <f>'Elec State Recvd$ vs Costs'!O28+'Elec State Recvd$ vs Costs'!O29</f>
        <v>5044502.8879999993</v>
      </c>
      <c r="S41" s="3"/>
      <c r="T41" s="3"/>
      <c r="U41" s="3"/>
    </row>
    <row r="42" spans="2:21" x14ac:dyDescent="0.2">
      <c r="B42" s="1" t="s">
        <v>2</v>
      </c>
      <c r="C42" s="3">
        <f>'Elec  Pmts to State'!I21</f>
        <v>2085701.88</v>
      </c>
      <c r="D42" s="3">
        <f>'Elec  Pmts to State'!J21</f>
        <v>2149029.2488210001</v>
      </c>
      <c r="E42" s="3">
        <f>'Elec  Pmts to State'!K21</f>
        <v>2550927.7240329999</v>
      </c>
      <c r="F42" s="3">
        <f>'Elec  Pmts to State'!L21</f>
        <v>3022153.8548500002</v>
      </c>
      <c r="G42" s="3">
        <f>'Elec  Pmts to State'!M21</f>
        <v>2862535.259753</v>
      </c>
      <c r="H42" s="3">
        <f>'Elec  Pmts to State'!N21</f>
        <v>2277175.541121</v>
      </c>
      <c r="I42" s="3"/>
      <c r="J42" s="3"/>
      <c r="K42" s="3"/>
      <c r="L42" s="1" t="s">
        <v>2</v>
      </c>
      <c r="M42" s="3">
        <f>'Elec State Recvd$ vs Costs'!J44+'Elec State Recvd$ vs Costs'!J45</f>
        <v>1123094.98</v>
      </c>
      <c r="N42" s="3">
        <f>'Elec State Recvd$ vs Costs'!K44+'Elec State Recvd$ vs Costs'!K45</f>
        <v>1123094.98</v>
      </c>
      <c r="O42" s="3">
        <f>'Elec State Recvd$ vs Costs'!L44+'Elec State Recvd$ vs Costs'!L45</f>
        <v>1123094.98</v>
      </c>
      <c r="P42" s="3">
        <f>'Elec State Recvd$ vs Costs'!M44+'Elec State Recvd$ vs Costs'!M45</f>
        <v>1123094.98</v>
      </c>
      <c r="Q42" s="3">
        <f>'Elec State Recvd$ vs Costs'!N44+'Elec State Recvd$ vs Costs'!N45</f>
        <v>1123094.98</v>
      </c>
      <c r="R42" s="3">
        <f>'Elec State Recvd$ vs Costs'!O44+'Elec State Recvd$ vs Costs'!O45</f>
        <v>1123094.98</v>
      </c>
      <c r="S42" s="3"/>
      <c r="T42" s="3"/>
      <c r="U42" s="3"/>
    </row>
    <row r="43" spans="2:21" x14ac:dyDescent="0.2">
      <c r="B43" s="1" t="s">
        <v>85</v>
      </c>
      <c r="C43" s="3">
        <f>'Elec  Pmts to State'!I26</f>
        <v>869111.25</v>
      </c>
      <c r="D43" s="3">
        <f>'Elec  Pmts to State'!J26</f>
        <v>815760.18750200002</v>
      </c>
      <c r="E43" s="3">
        <f>'Elec  Pmts to State'!K26</f>
        <v>991326.30548900005</v>
      </c>
      <c r="F43" s="3">
        <f>'Elec  Pmts to State'!L26</f>
        <v>1298428.7427410001</v>
      </c>
      <c r="G43" s="3">
        <f>'Elec  Pmts to State'!M26</f>
        <v>1339101.4255580001</v>
      </c>
      <c r="H43" s="3">
        <f>'Elec  Pmts to State'!N26</f>
        <v>1206368.611214</v>
      </c>
      <c r="I43" s="3"/>
      <c r="J43" s="3"/>
      <c r="K43" s="3"/>
      <c r="L43" s="1" t="s">
        <v>85</v>
      </c>
      <c r="M43" s="3">
        <f>'Elec State Recvd$ vs Costs'!J60+'Elec State Recvd$ vs Costs'!J61</f>
        <v>1995564.1400000001</v>
      </c>
      <c r="N43" s="3">
        <f>'Elec State Recvd$ vs Costs'!K60+'Elec State Recvd$ vs Costs'!K61</f>
        <v>1995564.1400000001</v>
      </c>
      <c r="O43" s="3">
        <f>'Elec State Recvd$ vs Costs'!L60+'Elec State Recvd$ vs Costs'!L61</f>
        <v>1995564.1400000001</v>
      </c>
      <c r="P43" s="3">
        <f>'Elec State Recvd$ vs Costs'!M60+'Elec State Recvd$ vs Costs'!M61</f>
        <v>1995564.1400000001</v>
      </c>
      <c r="Q43" s="3">
        <f>'Elec State Recvd$ vs Costs'!N60+'Elec State Recvd$ vs Costs'!N61</f>
        <v>1995564.1400000001</v>
      </c>
      <c r="R43" s="3">
        <f>'Elec State Recvd$ vs Costs'!O60+'Elec State Recvd$ vs Costs'!O61</f>
        <v>1995564.1400000001</v>
      </c>
      <c r="S43" s="3"/>
      <c r="T43" s="3"/>
      <c r="U43" s="3"/>
    </row>
    <row r="44" spans="2:21" x14ac:dyDescent="0.2">
      <c r="B44" s="1" t="s">
        <v>8</v>
      </c>
      <c r="C44" s="3">
        <f>'Elec  Pmts to State'!I32</f>
        <v>153973.38434400002</v>
      </c>
      <c r="D44" s="3">
        <f>'Elec  Pmts to State'!J32</f>
        <v>153580.347557</v>
      </c>
      <c r="E44" s="3">
        <f>'Elec  Pmts to State'!K32</f>
        <v>153580.347557</v>
      </c>
      <c r="F44" s="3">
        <f>'Elec  Pmts to State'!L32</f>
        <v>153580.347557</v>
      </c>
      <c r="G44" s="3">
        <f>'Elec  Pmts to State'!M32</f>
        <v>153580.347557</v>
      </c>
      <c r="H44" s="3">
        <f>'Elec  Pmts to State'!N32</f>
        <v>153580.347557</v>
      </c>
      <c r="I44" s="3"/>
      <c r="J44" s="3"/>
      <c r="K44" s="3"/>
      <c r="L44" s="1" t="s">
        <v>8</v>
      </c>
      <c r="M44" s="3">
        <f>'Elec State Recvd$ vs Costs'!J76+'Elec State Recvd$ vs Costs'!J77</f>
        <v>34214.93</v>
      </c>
      <c r="N44" s="3">
        <f>'Elec State Recvd$ vs Costs'!K76+'Elec State Recvd$ vs Costs'!K77</f>
        <v>34214.93</v>
      </c>
      <c r="O44" s="3">
        <f>'Elec State Recvd$ vs Costs'!L76+'Elec State Recvd$ vs Costs'!L77</f>
        <v>34214.93</v>
      </c>
      <c r="P44" s="3">
        <f>'Elec State Recvd$ vs Costs'!M76+'Elec State Recvd$ vs Costs'!M77</f>
        <v>34214.93</v>
      </c>
      <c r="Q44" s="3">
        <f>'Elec State Recvd$ vs Costs'!N76+'Elec State Recvd$ vs Costs'!N77</f>
        <v>34214.93</v>
      </c>
      <c r="R44" s="3">
        <f>'Elec State Recvd$ vs Costs'!O76+'Elec State Recvd$ vs Costs'!O77</f>
        <v>34214.93</v>
      </c>
      <c r="S44" s="3"/>
      <c r="T44" s="3"/>
      <c r="U44" s="3"/>
    </row>
    <row r="45" spans="2:21" x14ac:dyDescent="0.2">
      <c r="B45" s="62" t="s">
        <v>80</v>
      </c>
      <c r="C45" s="3">
        <f t="shared" ref="C45:H45" si="14">SUM(C41:C44)</f>
        <v>7457641.0742640002</v>
      </c>
      <c r="D45" s="3">
        <f t="shared" si="14"/>
        <v>7174396.009271956</v>
      </c>
      <c r="E45" s="3">
        <f t="shared" si="14"/>
        <v>8589920.6838671248</v>
      </c>
      <c r="F45" s="3">
        <f t="shared" si="14"/>
        <v>10331192.111879054</v>
      </c>
      <c r="G45" s="3">
        <f t="shared" si="14"/>
        <v>10167156.399029143</v>
      </c>
      <c r="H45" s="3">
        <f t="shared" si="14"/>
        <v>8940996.5546748284</v>
      </c>
      <c r="I45" s="3"/>
      <c r="J45" s="3"/>
      <c r="K45" s="3"/>
      <c r="L45" s="62" t="s">
        <v>80</v>
      </c>
      <c r="M45" s="3">
        <f t="shared" ref="M45:R45" si="15">SUM(M41:M44)</f>
        <v>8197376.9379999992</v>
      </c>
      <c r="N45" s="3">
        <f t="shared" si="15"/>
        <v>8197376.9379999992</v>
      </c>
      <c r="O45" s="3">
        <f t="shared" si="15"/>
        <v>8197376.9379999992</v>
      </c>
      <c r="P45" s="3">
        <f t="shared" si="15"/>
        <v>8197376.9379999992</v>
      </c>
      <c r="Q45" s="3">
        <f t="shared" si="15"/>
        <v>8197376.9379999992</v>
      </c>
      <c r="R45" s="3">
        <f t="shared" si="15"/>
        <v>8197376.9379999992</v>
      </c>
      <c r="S45" s="3"/>
      <c r="T45" s="3"/>
      <c r="U45" s="3"/>
    </row>
    <row r="46" spans="2:21" x14ac:dyDescent="0.2">
      <c r="C46" s="3"/>
      <c r="D46" s="3"/>
      <c r="E46" s="3"/>
      <c r="F46" s="3"/>
    </row>
    <row r="47" spans="2:21" x14ac:dyDescent="0.2">
      <c r="B47" s="1" t="s">
        <v>81</v>
      </c>
      <c r="C47" s="3">
        <f t="shared" ref="C47:H47" si="16">C45+C38</f>
        <v>9416345.6514551993</v>
      </c>
      <c r="D47" s="3">
        <f t="shared" si="16"/>
        <v>8053468.2533385307</v>
      </c>
      <c r="E47" s="3">
        <f t="shared" si="16"/>
        <v>9257176.7915645726</v>
      </c>
      <c r="F47" s="3">
        <f t="shared" si="16"/>
        <v>10897860.68660198</v>
      </c>
      <c r="G47" s="3">
        <f t="shared" si="16"/>
        <v>10710969.4765114</v>
      </c>
      <c r="H47" s="3">
        <f t="shared" si="16"/>
        <v>9493613.2455589343</v>
      </c>
      <c r="I47" s="3"/>
      <c r="J47" s="3"/>
      <c r="K47" s="3"/>
      <c r="L47" s="1" t="s">
        <v>81</v>
      </c>
      <c r="M47" s="3">
        <f t="shared" ref="M47:R47" si="17">M45+M38</f>
        <v>9944623.5800000001</v>
      </c>
      <c r="N47" s="3">
        <f t="shared" si="17"/>
        <v>9944623.5800000001</v>
      </c>
      <c r="O47" s="3">
        <f t="shared" si="17"/>
        <v>9944623.5800000001</v>
      </c>
      <c r="P47" s="3">
        <f t="shared" si="17"/>
        <v>9944623.5800000001</v>
      </c>
      <c r="Q47" s="3">
        <f t="shared" si="17"/>
        <v>9944623.5800000001</v>
      </c>
      <c r="R47" s="3">
        <f t="shared" si="17"/>
        <v>9944623.5800000001</v>
      </c>
      <c r="S47" s="3"/>
      <c r="T47" s="3"/>
      <c r="U47" s="3"/>
    </row>
    <row r="48" spans="2:21" x14ac:dyDescent="0.2">
      <c r="C48" s="3"/>
      <c r="D48" s="3"/>
      <c r="E48" s="3"/>
      <c r="F48" s="3"/>
    </row>
    <row r="49" spans="2:6" x14ac:dyDescent="0.2">
      <c r="C49" s="3"/>
      <c r="D49" s="3"/>
      <c r="E49" s="3"/>
      <c r="F49" s="3"/>
    </row>
    <row r="51" spans="2:6" x14ac:dyDescent="0.2">
      <c r="B51" s="1" t="s">
        <v>115</v>
      </c>
    </row>
    <row r="56" spans="2:6" ht="10.5" customHeight="1" x14ac:dyDescent="0.2"/>
  </sheetData>
  <phoneticPr fontId="13" type="noConversion"/>
  <printOptions horizontalCentered="1"/>
  <pageMargins left="0" right="0" top="1" bottom="1" header="0.4" footer="0.5"/>
  <pageSetup paperSize="5" scale="73" orientation="landscape" r:id="rId1"/>
  <headerFooter alignWithMargins="0">
    <oddFooter>&amp;R&amp;"Arial,Bold"&amp;11&amp;F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20</vt:i4>
      </vt:variant>
    </vt:vector>
  </HeadingPairs>
  <TitlesOfParts>
    <vt:vector size="35" baseType="lpstr">
      <vt:lpstr>Summary</vt:lpstr>
      <vt:lpstr>Lifeline rate</vt:lpstr>
      <vt:lpstr>USF Rate Calc</vt:lpstr>
      <vt:lpstr>Gas State Recvd$ vs Costs</vt:lpstr>
      <vt:lpstr>Elec State Recvd$ vs Costs</vt:lpstr>
      <vt:lpstr>Prj.Sales</vt:lpstr>
      <vt:lpstr>Gas Pmts to State</vt:lpstr>
      <vt:lpstr>Elec  Pmts to State</vt:lpstr>
      <vt:lpstr>$ Transfer from State</vt:lpstr>
      <vt:lpstr>Summary Admin</vt:lpstr>
      <vt:lpstr>lifeline allocation</vt:lpstr>
      <vt:lpstr>transfersremittancesgas</vt:lpstr>
      <vt:lpstr>transfersremittanceselec</vt:lpstr>
      <vt:lpstr>PS INPUTS</vt:lpstr>
      <vt:lpstr>Sheet1</vt:lpstr>
      <vt:lpstr>'$ Transfer from State'!Print_Area</vt:lpstr>
      <vt:lpstr>'Elec  Pmts to State'!Print_Area</vt:lpstr>
      <vt:lpstr>'Elec State Recvd$ vs Costs'!Print_Area</vt:lpstr>
      <vt:lpstr>'Gas Pmts to State'!Print_Area</vt:lpstr>
      <vt:lpstr>'Gas State Recvd$ vs Costs'!Print_Area</vt:lpstr>
      <vt:lpstr>'lifeline allocation'!Print_Area</vt:lpstr>
      <vt:lpstr>'Lifeline rate'!Print_Area</vt:lpstr>
      <vt:lpstr>Prj.Sales!Print_Area</vt:lpstr>
      <vt:lpstr>'PS INPUTS'!Print_Area</vt:lpstr>
      <vt:lpstr>Summary!Print_Area</vt:lpstr>
      <vt:lpstr>'Summary Admin'!Print_Area</vt:lpstr>
      <vt:lpstr>transfersremittanceselec!Print_Area</vt:lpstr>
      <vt:lpstr>transfersremittancesgas!Print_Area</vt:lpstr>
      <vt:lpstr>'USF Rate Calc'!Print_Area</vt:lpstr>
      <vt:lpstr>'Elec  Pmts to State'!Print_Titles</vt:lpstr>
      <vt:lpstr>'Elec State Recvd$ vs Costs'!Print_Titles</vt:lpstr>
      <vt:lpstr>'Gas Pmts to State'!Print_Titles</vt:lpstr>
      <vt:lpstr>'Gas State Recvd$ vs Costs'!Print_Titles</vt:lpstr>
      <vt:lpstr>transfersremittanceselec!Print_Titles</vt:lpstr>
      <vt:lpstr>transfersremittancesgas!Print_Titles</vt:lpstr>
    </vt:vector>
  </TitlesOfParts>
  <Company>NJR Service 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Technical Systems</dc:creator>
  <cp:lastModifiedBy>Tracy Morgan</cp:lastModifiedBy>
  <cp:lastPrinted>2018-06-19T17:26:22Z</cp:lastPrinted>
  <dcterms:created xsi:type="dcterms:W3CDTF">2003-05-05T16:01:53Z</dcterms:created>
  <dcterms:modified xsi:type="dcterms:W3CDTF">2018-06-19T18:04:00Z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