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83906389-20F5-4DA2-B419-5D19272BF598}"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3" i="20" l="1"/>
  <c r="J73" i="20"/>
  <c r="F73" i="20"/>
  <c r="AC42" i="20"/>
  <c r="AB31" i="20"/>
  <c r="AB42" i="20"/>
  <c r="Z42" i="20"/>
  <c r="M42" i="20"/>
  <c r="K42" i="20"/>
  <c r="J42" i="20" l="1"/>
  <c r="F42" i="20"/>
  <c r="M63" i="20"/>
  <c r="J63" i="20"/>
  <c r="F63" i="20"/>
  <c r="AC31" i="20"/>
  <c r="Z31" i="20"/>
  <c r="M31" i="20"/>
  <c r="K31" i="20"/>
  <c r="J31" i="20" l="1"/>
  <c r="F31" i="20"/>
  <c r="M53" i="20"/>
  <c r="J53" i="20"/>
  <c r="F53" i="20"/>
  <c r="AC20" i="20"/>
  <c r="AB20" i="20"/>
  <c r="Z20" i="20"/>
  <c r="M20" i="20" l="1"/>
  <c r="K20" i="20"/>
  <c r="J20" i="20"/>
  <c r="F20" i="20"/>
  <c r="AB73" i="20" l="1"/>
  <c r="AC73" i="20"/>
  <c r="AC63" i="20"/>
  <c r="AB63" i="20"/>
  <c r="AB53" i="20"/>
  <c r="AC53" i="20"/>
  <c r="AD42" i="20" l="1"/>
  <c r="AD31" i="20"/>
  <c r="AD73" i="20" l="1"/>
  <c r="AD63" i="20"/>
  <c r="AD53" i="20"/>
  <c r="AD20" i="20"/>
  <c r="Z73" i="20" l="1"/>
  <c r="Z63" i="20"/>
  <c r="Z53" i="20" l="1"/>
  <c r="Y63" i="20" l="1"/>
  <c r="Y73" i="20"/>
  <c r="Y42" i="20"/>
  <c r="Y31" i="20"/>
  <c r="T53" i="20"/>
  <c r="T31" i="20"/>
  <c r="T20" i="20"/>
  <c r="P31" i="20"/>
  <c r="P20" i="20"/>
  <c r="P42" i="20"/>
  <c r="K73" i="20"/>
  <c r="K63" i="20"/>
  <c r="K53" i="20"/>
  <c r="T42" i="20"/>
  <c r="P73" i="20" l="1"/>
  <c r="T63" i="20"/>
  <c r="P63" i="20"/>
  <c r="P53" i="20"/>
  <c r="T73" i="20" l="1"/>
  <c r="AU32" i="14"/>
  <c r="AU48" i="14" s="1"/>
  <c r="AM32" i="14"/>
  <c r="AM48" i="14" s="1"/>
  <c r="U48" i="14"/>
  <c r="U32" i="14"/>
  <c r="A10" i="21" l="1"/>
  <c r="A8" i="13" s="1"/>
  <c r="E48" i="14" l="1"/>
  <c r="E32" i="14"/>
  <c r="Y53" i="20"/>
  <c r="Y20" i="20"/>
</calcChain>
</file>

<file path=xl/sharedStrings.xml><?xml version="1.0" encoding="utf-8"?>
<sst xmlns="http://schemas.openxmlformats.org/spreadsheetml/2006/main" count="17253" uniqueCount="191">
  <si>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</si>
  <si>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</si>
  <si>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</si>
  <si>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</si>
  <si>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</si>
  <si>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</si>
  <si>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</si>
  <si>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</si>
  <si>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</si>
  <si>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</si>
  <si>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</si>
  <si>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</si>
  <si>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</si>
  <si>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</si>
  <si>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</si>
  <si>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</si>
  <si>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</si>
  <si>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</si>
  <si>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</si>
  <si>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</si>
  <si>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</si>
  <si>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</si>
  <si>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</si>
  <si>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</si>
  <si>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</si>
  <si>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</si>
  <si>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</si>
  <si>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</si>
  <si>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</si>
  <si>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</si>
  <si>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</si>
  <si>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</si>
  <si>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</si>
  <si>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</si>
  <si>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</si>
  <si>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</si>
  <si>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</si>
  <si>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</si>
  <si>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</si>
  <si>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</si>
  <si>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</si>
  <si>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</si>
  <si>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</si>
  <si>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</si>
  <si>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</si>
  <si>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</si>
  <si>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</si>
  <si>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</si>
  <si>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</si>
  <si>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</si>
  <si>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</si>
  <si>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</si>
  <si>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</si>
  <si>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</si>
  <si>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</si>
  <si>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</si>
  <si>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</si>
  <si>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</si>
  <si>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</si>
  <si>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</si>
  <si>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</si>
  <si>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</si>
  <si>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</si>
  <si>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</si>
  <si>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</si>
  <si>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</si>
  <si>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</si>
  <si>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</si>
  <si>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</si>
  <si>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</si>
  <si>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</si>
  <si>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</si>
  <si>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</si>
  <si>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</si>
  <si>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</si>
  <si>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</si>
  <si>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</si>
  <si>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</si>
  <si>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</si>
  <si>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</si>
  <si>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</si>
  <si>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</si>
  <si>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</si>
  <si>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</si>
  <si>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</si>
  <si>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</si>
  <si>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</si>
  <si>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</si>
  <si>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</si>
  <si>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</si>
  <si>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</si>
  <si>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</si>
  <si>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</si>
  <si>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</si>
  <si>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</si>
  <si>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</si>
  <si>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</si>
  <si>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</si>
  <si>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</si>
  <si>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</si>
  <si>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</si>
  <si>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</si>
  <si>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</si>
  <si>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</si>
  <si>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</si>
  <si>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</si>
  <si>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</si>
  <si>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</si>
  <si>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</si>
  <si>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</si>
  <si>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</si>
  <si>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</si>
  <si>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</si>
  <si>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</si>
  <si>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</si>
  <si>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</si>
  <si>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</si>
  <si>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</si>
  <si>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</si>
  <si>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</si>
  <si>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</si>
  <si>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</si>
  <si>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</si>
  <si>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</si>
  <si>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</si>
  <si>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</si>
  <si>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</si>
  <si>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</si>
  <si>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</si>
  <si>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</si>
  <si>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</si>
  <si>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</si>
  <si>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</si>
  <si>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</si>
  <si>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</si>
  <si>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</si>
  <si>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</si>
  <si>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</si>
  <si>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</si>
  <si>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</si>
  <si>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</si>
  <si>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</si>
  <si>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</si>
  <si>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</si>
  <si>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</si>
  <si>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</si>
  <si>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</si>
  <si>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</si>
  <si>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</si>
  <si>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</si>
  <si>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</si>
  <si>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</si>
  <si>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</si>
  <si>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</si>
  <si>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</si>
  <si>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</si>
  <si>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</si>
  <si>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</si>
  <si>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</si>
  <si>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</si>
  <si>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</si>
  <si>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</si>
  <si>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</si>
  <si>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</si>
  <si>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</si>
  <si>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</si>
  <si>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</si>
  <si>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</si>
  <si>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</si>
  <si>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</si>
  <si>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</si>
  <si>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</si>
  <si>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</si>
  <si>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</si>
  <si>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</si>
  <si>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</si>
  <si>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</si>
  <si>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</si>
  <si>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</si>
  <si>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</si>
  <si>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</si>
  <si>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</si>
  <si>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</si>
  <si>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</si>
  <si>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</si>
  <si>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</si>
  <si>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</si>
  <si>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 xml:space="preserve">  </t>
  </si>
  <si>
    <t>January, 2024</t>
  </si>
  <si>
    <t>January, 2023</t>
  </si>
  <si>
    <t>January,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</si>
</sst>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13607</xdr:colOff>
      <xdr:row>7</xdr:row>
      <xdr:rowOff>81643</xdr:rowOff>
    </xdr:from>
    <xdr:to>
      <xdr:col>3</xdr:col>
      <xdr:colOff>1088571</xdr:colOff>
      <xdr:row>45</xdr:row>
      <xdr:rowOff>163285</xdr:rowOff>
    </xdr:to>
    <xdr:pic>
      <xdr:nvPicPr>
        <xdr:cNvPr id="2" name="Picture 1">
          <a:extLst>
            <a:ext uri="{FF2B5EF4-FFF2-40B4-BE49-F238E27FC236}">
              <a16:creationId xmlns:a16="http://schemas.microsoft.com/office/drawing/2014/main" id="{A499C5B3-8E5B-9EB4-D633-383F3EF5D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8714" y="1673679"/>
          <a:ext cx="6490607" cy="62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208">
        <v>45292</v>
      </c>
      <c r="B4" s="1"/>
      <c r="C4" s="1"/>
      <c r="D4" s="1"/>
      <c r="E4" s="1"/>
    </row>
    <row r="5" spans="1:5" x14ac:dyDescent="0.25">
      <c r="A5" s="204">
        <v>45412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9" zoomScaleNormal="100" zoomScaleSheetLayoutView="85" zoomScalePageLayoutView="70" workbookViewId="0">
      <selection activeCell="G25" sqref="G2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0" t="s">
        <v>3</v>
      </c>
      <c r="B2" s="211"/>
      <c r="C2" s="212"/>
      <c r="D2" s="88"/>
      <c r="E2" s="88"/>
      <c r="F2" s="88"/>
      <c r="G2" s="88"/>
      <c r="H2" s="88"/>
      <c r="I2" s="88"/>
      <c r="J2" s="88"/>
      <c r="K2" s="88"/>
      <c r="L2" s="88"/>
      <c r="M2" s="228" t="s">
        <v>141</v>
      </c>
      <c r="N2" s="229"/>
      <c r="O2" s="65"/>
      <c r="P2" s="219" t="s">
        <v>103</v>
      </c>
      <c r="Q2" s="220"/>
      <c r="R2" s="221"/>
      <c r="S2" s="4"/>
      <c r="T2" s="4"/>
      <c r="U2" s="65"/>
      <c r="V2" s="19"/>
      <c r="W2" s="19"/>
      <c r="X2" s="19"/>
      <c r="Y2" s="210" t="s">
        <v>127</v>
      </c>
      <c r="Z2" s="212"/>
      <c r="AA2" s="122"/>
      <c r="AB2" s="210" t="s">
        <v>12</v>
      </c>
      <c r="AC2" s="211"/>
      <c r="AD2" s="211"/>
      <c r="AE2" s="212"/>
      <c r="AF2" s="76"/>
      <c r="AG2" s="76"/>
      <c r="AL2" s="76"/>
    </row>
    <row r="3" spans="1:38" ht="14.45" customHeight="1" thickBot="1" x14ac:dyDescent="0.25">
      <c r="A3" s="213"/>
      <c r="B3" s="214"/>
      <c r="C3" s="215"/>
      <c r="D3" s="53"/>
      <c r="E3" s="53"/>
      <c r="F3" s="53"/>
      <c r="G3" s="53"/>
      <c r="H3" s="53"/>
      <c r="I3" s="53"/>
      <c r="J3" s="53"/>
      <c r="K3" s="53"/>
      <c r="L3" s="53"/>
      <c r="M3" s="230"/>
      <c r="N3" s="231"/>
      <c r="O3" s="65"/>
      <c r="P3" s="222"/>
      <c r="Q3" s="223"/>
      <c r="R3" s="224"/>
      <c r="S3" s="4"/>
      <c r="T3" s="4"/>
      <c r="U3" s="65"/>
      <c r="V3" s="19"/>
      <c r="W3" s="19"/>
      <c r="X3" s="19"/>
      <c r="Y3" s="216"/>
      <c r="Z3" s="218"/>
      <c r="AA3" s="84"/>
      <c r="AB3" s="216"/>
      <c r="AC3" s="217"/>
      <c r="AD3" s="217"/>
      <c r="AE3" s="218"/>
      <c r="AF3" s="76"/>
      <c r="AG3" s="76"/>
      <c r="AL3" s="76"/>
    </row>
    <row r="4" spans="1:38" ht="14.45" customHeight="1" x14ac:dyDescent="0.2">
      <c r="A4" s="54"/>
      <c r="B4" s="54"/>
      <c r="C4" s="54"/>
      <c r="D4" s="54"/>
      <c r="E4" s="54"/>
      <c r="F4" s="54"/>
      <c r="G4" s="54"/>
      <c r="H4" s="54"/>
      <c r="I4" s="54"/>
      <c r="J4" s="54"/>
      <c r="K4" s="54"/>
      <c r="L4" s="54"/>
      <c r="M4" s="230"/>
      <c r="N4" s="231"/>
      <c r="O4" s="65"/>
      <c r="P4" s="222"/>
      <c r="Q4" s="223"/>
      <c r="R4" s="224"/>
      <c r="S4" s="4"/>
      <c r="T4" s="4"/>
      <c r="U4" s="65"/>
      <c r="V4" s="19"/>
      <c r="W4" s="19"/>
      <c r="X4" s="19"/>
      <c r="Y4" s="216"/>
      <c r="Z4" s="218"/>
      <c r="AA4" s="84"/>
      <c r="AB4" s="216"/>
      <c r="AC4" s="217"/>
      <c r="AD4" s="217"/>
      <c r="AE4" s="218"/>
      <c r="AF4" s="76"/>
      <c r="AG4" s="76"/>
      <c r="AL4" s="76"/>
    </row>
    <row r="5" spans="1:38" ht="15" customHeight="1" thickBot="1" x14ac:dyDescent="0.25">
      <c r="A5" s="6" t="s">
        <v>156</v>
      </c>
      <c r="B5" s="55"/>
      <c r="C5" s="55"/>
      <c r="D5" s="55"/>
      <c r="E5" s="55"/>
      <c r="F5" s="55"/>
      <c r="G5" s="55"/>
      <c r="H5" s="55"/>
      <c r="I5" s="54"/>
      <c r="J5" s="54"/>
      <c r="K5" s="54"/>
      <c r="L5" s="54"/>
      <c r="M5" s="230"/>
      <c r="N5" s="231"/>
      <c r="O5" s="65"/>
      <c r="P5" s="225"/>
      <c r="Q5" s="226"/>
      <c r="R5" s="227"/>
      <c r="S5" s="4"/>
      <c r="T5" s="4"/>
      <c r="U5" s="65"/>
      <c r="V5" s="19"/>
      <c r="W5" s="19"/>
      <c r="X5" s="19"/>
      <c r="Y5" s="216"/>
      <c r="Z5" s="218"/>
      <c r="AA5" s="84"/>
      <c r="AB5" s="213"/>
      <c r="AC5" s="214"/>
      <c r="AD5" s="214"/>
      <c r="AE5" s="215"/>
      <c r="AF5" s="76"/>
      <c r="AG5" s="76"/>
      <c r="AL5" s="76"/>
    </row>
    <row r="6" spans="1:38" ht="15" customHeight="1" thickBot="1" x14ac:dyDescent="0.25">
      <c r="B6" s="4"/>
      <c r="C6" s="4"/>
      <c r="D6" s="4"/>
      <c r="E6" s="4"/>
      <c r="F6" s="4"/>
      <c r="G6" s="4"/>
      <c r="H6" s="4"/>
      <c r="I6" s="54"/>
      <c r="J6" s="54"/>
      <c r="K6" s="54"/>
      <c r="L6" s="54"/>
      <c r="M6" s="232"/>
      <c r="N6" s="233"/>
      <c r="O6" s="65"/>
      <c r="Q6" s="167"/>
      <c r="R6" s="9"/>
      <c r="S6" s="4"/>
      <c r="T6" s="4"/>
      <c r="U6" s="4"/>
      <c r="V6" s="9"/>
      <c r="W6" s="9"/>
      <c r="X6" s="9"/>
      <c r="Y6" s="213"/>
      <c r="Z6" s="215"/>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4" t="s">
        <v>142</v>
      </c>
      <c r="N7" s="235"/>
      <c r="O7" s="65"/>
      <c r="P7" s="166" t="s">
        <v>178</v>
      </c>
      <c r="Q7" s="167"/>
      <c r="R7" s="4"/>
      <c r="S7" s="4"/>
      <c r="T7" s="4"/>
      <c r="U7" s="4"/>
      <c r="V7" s="4"/>
      <c r="W7" s="4"/>
      <c r="Y7" s="177"/>
      <c r="Z7" s="122"/>
      <c r="AA7" s="84"/>
      <c r="AB7" s="238" t="s">
        <v>142</v>
      </c>
      <c r="AC7" s="239"/>
      <c r="AD7" s="239"/>
      <c r="AE7" s="239"/>
      <c r="AF7" s="4"/>
    </row>
    <row r="8" spans="1:38" ht="14.45" customHeight="1" x14ac:dyDescent="0.2">
      <c r="B8" s="54"/>
      <c r="C8" s="54"/>
      <c r="D8" s="54"/>
      <c r="E8" s="54"/>
      <c r="F8" s="54"/>
      <c r="G8" s="54"/>
      <c r="H8" s="54"/>
      <c r="I8" s="54"/>
      <c r="J8" s="54"/>
      <c r="K8" s="54"/>
      <c r="L8" s="54"/>
      <c r="M8" s="236"/>
      <c r="N8" s="237"/>
      <c r="Q8" s="4"/>
      <c r="R8" s="4"/>
      <c r="S8" s="4"/>
      <c r="T8" s="4"/>
      <c r="U8" s="4"/>
      <c r="V8" s="4"/>
      <c r="W8" s="4"/>
      <c r="Y8" s="238" t="s">
        <v>142</v>
      </c>
      <c r="Z8" s="239"/>
      <c r="AA8" s="84"/>
      <c r="AB8" s="238"/>
      <c r="AC8" s="239"/>
      <c r="AD8" s="239"/>
      <c r="AE8" s="239"/>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8"/>
      <c r="Z9" s="239"/>
      <c r="AA9" s="84"/>
      <c r="AB9" s="238"/>
      <c r="AC9" s="239"/>
      <c r="AD9" s="239"/>
      <c r="AE9" s="239"/>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8"/>
      <c r="Z10" s="239"/>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8"/>
      <c r="Z11" s="239"/>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8"/>
      <c r="Z12" s="239"/>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181</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207" t="s">
        <v>188</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175</v>
      </c>
      <c r="C20" s="11" t="s">
        <v>173</v>
      </c>
      <c r="D20" s="11" t="s">
        <v>173</v>
      </c>
      <c r="E20" s="11" t="s">
        <v>174</v>
      </c>
      <c r="F20" s="205">
        <f>(463.65+25850+22680+83094+5287)*748</f>
        <v>102756238.2</v>
      </c>
      <c r="G20" s="11"/>
      <c r="H20" s="205">
        <v>224116312</v>
      </c>
      <c r="I20" s="11"/>
      <c r="J20" s="205">
        <f>553.59+190470.55+176946.66+593798.27+38701.69</f>
        <v>1000470.76</v>
      </c>
      <c r="K20" s="209">
        <f>1067952.43/2</f>
        <v>533976.21499999997</v>
      </c>
      <c r="M20" s="24">
        <f>16+132+590+4526+8</f>
        <v>5272</v>
      </c>
      <c r="N20" s="71"/>
      <c r="P20" s="206">
        <f>J20/M20</f>
        <v>189.77062974203338</v>
      </c>
      <c r="Q20" s="11"/>
      <c r="R20" s="11"/>
      <c r="S20" s="11"/>
      <c r="T20" s="205">
        <f>F20/M20</f>
        <v>19490.940477996966</v>
      </c>
      <c r="U20" s="11"/>
      <c r="V20" s="11"/>
      <c r="W20" s="11"/>
      <c r="Y20" s="205">
        <f>AD20</f>
        <v>760832.60499999998</v>
      </c>
      <c r="Z20" s="209">
        <f>2073402/2</f>
        <v>1036701</v>
      </c>
      <c r="AB20" s="205">
        <f>(104.93+16105.93+19342.11+4172.45+1221552.38)/2</f>
        <v>630638.89999999991</v>
      </c>
      <c r="AC20" s="205">
        <f>((1521161.19+504.02)/2)-AB20</f>
        <v>130193.70500000007</v>
      </c>
      <c r="AD20" s="205">
        <f>AB20+AC20</f>
        <v>760832.60499999998</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t="s">
        <v>177</v>
      </c>
      <c r="AC21" s="11"/>
      <c r="AD21" s="11" t="s">
        <v>177</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207" t="s">
        <v>189</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172</v>
      </c>
      <c r="C31" s="11" t="s">
        <v>173</v>
      </c>
      <c r="D31" s="11" t="s">
        <v>173</v>
      </c>
      <c r="E31" s="11" t="s">
        <v>174</v>
      </c>
      <c r="F31" s="205">
        <f>(343+28337+23477+86472+2145)*748</f>
        <v>105298952</v>
      </c>
      <c r="G31" s="11"/>
      <c r="H31" s="205">
        <v>252476167</v>
      </c>
      <c r="I31" s="11"/>
      <c r="J31" s="205">
        <f>664.78+188641.1+165273.34+555751.53+14195.79+74.57+2485.61</f>
        <v>927086.72</v>
      </c>
      <c r="K31" s="209">
        <f>1375884.81/2</f>
        <v>687942.40500000003</v>
      </c>
      <c r="M31" s="24">
        <f>19+136+591+4572+3</f>
        <v>5321</v>
      </c>
      <c r="N31" s="71"/>
      <c r="P31" s="206">
        <f>J31/M31</f>
        <v>174.23167073858298</v>
      </c>
      <c r="Q31" s="11"/>
      <c r="R31" s="11"/>
      <c r="S31" s="11"/>
      <c r="T31" s="205">
        <f>F31/M31</f>
        <v>19789.316293929711</v>
      </c>
      <c r="U31" s="11"/>
      <c r="V31" s="11"/>
      <c r="W31" s="11"/>
      <c r="Y31" s="205">
        <f>AD31</f>
        <v>703259.66500000004</v>
      </c>
      <c r="Z31" s="205">
        <f>1732644/2</f>
        <v>866322</v>
      </c>
      <c r="AB31" s="205">
        <f>(301.58+14838.43+19179.72+13796.97+1112041.29)/2</f>
        <v>580078.995</v>
      </c>
      <c r="AC31" s="205">
        <f>((1396208.27+10311.06)/2)-AB31</f>
        <v>123180.67000000004</v>
      </c>
      <c r="AD31" s="205">
        <f>AB31+AC31</f>
        <v>703259.66500000004</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207" t="s">
        <v>190</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172</v>
      </c>
      <c r="C42" s="11" t="s">
        <v>173</v>
      </c>
      <c r="D42" s="11" t="s">
        <v>173</v>
      </c>
      <c r="E42" s="11" t="s">
        <v>174</v>
      </c>
      <c r="F42" s="205">
        <f>(512+27968+24875+86984)*748</f>
        <v>104973572</v>
      </c>
      <c r="G42" s="11"/>
      <c r="H42" s="205">
        <v>239074542</v>
      </c>
      <c r="I42" s="11"/>
      <c r="J42" s="205">
        <f>3220.48+137146.56+2266.46+128422.03+478.89+406877.52+4511.46</f>
        <v>682923.4</v>
      </c>
      <c r="K42" s="209">
        <f>940354.87/2</f>
        <v>470177.435</v>
      </c>
      <c r="M42" s="24">
        <f>1+137+588+4617</f>
        <v>5343</v>
      </c>
      <c r="N42" s="71"/>
      <c r="P42" s="206">
        <f>J42/M42</f>
        <v>127.81647014785702</v>
      </c>
      <c r="Q42" s="11"/>
      <c r="R42" s="11"/>
      <c r="S42" s="11"/>
      <c r="T42" s="205">
        <f>F42/M42</f>
        <v>19646.934680890885</v>
      </c>
      <c r="U42" s="11"/>
      <c r="V42" s="11"/>
      <c r="W42" s="11"/>
      <c r="Y42" s="205">
        <f>AD42</f>
        <v>509885.34500000003</v>
      </c>
      <c r="Z42" s="205">
        <f>1209498/2</f>
        <v>604749</v>
      </c>
      <c r="AB42" s="205">
        <f>(3220.48+833209.28+7523.13)/2</f>
        <v>421976.44500000001</v>
      </c>
      <c r="AC42" s="205">
        <f>((1011461.04+8309.65)/2)-AB42</f>
        <v>87908.900000000023</v>
      </c>
      <c r="AD42" s="205">
        <f>AB42+AC42</f>
        <v>509885.34500000003</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188</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176</v>
      </c>
      <c r="C53" s="11" t="s">
        <v>173</v>
      </c>
      <c r="D53" s="11" t="s">
        <v>173</v>
      </c>
      <c r="E53" s="11" t="s">
        <v>174</v>
      </c>
      <c r="F53" s="205">
        <f>(205455.65*748)-F20</f>
        <v>50924587.999999985</v>
      </c>
      <c r="G53" s="11"/>
      <c r="H53" s="11"/>
      <c r="I53" s="11"/>
      <c r="J53" s="205">
        <f>(1521161.19+504.02)-J20</f>
        <v>521194.44999999995</v>
      </c>
      <c r="K53" s="205">
        <f>K20</f>
        <v>533976.21499999997</v>
      </c>
      <c r="M53" s="11">
        <f>16+1+658+1+2+6+2+28+7+2+132+590+4526+8+4+17+1-M20</f>
        <v>729</v>
      </c>
      <c r="N53" s="71"/>
      <c r="P53" s="206">
        <f>J53/M53</f>
        <v>714.94437585733874</v>
      </c>
      <c r="Q53" s="11"/>
      <c r="R53" s="11"/>
      <c r="S53" s="11"/>
      <c r="T53" s="205">
        <f>F53/M53</f>
        <v>69855.401920438933</v>
      </c>
      <c r="U53" s="11"/>
      <c r="V53" s="11"/>
      <c r="W53" s="11"/>
      <c r="Y53" s="205">
        <f>AD53</f>
        <v>760832.60499999998</v>
      </c>
      <c r="Z53" s="205">
        <f>Z20</f>
        <v>1036701</v>
      </c>
      <c r="AB53" s="205">
        <f>AB20</f>
        <v>630638.89999999991</v>
      </c>
      <c r="AC53" s="205">
        <f>AC20</f>
        <v>130193.70500000007</v>
      </c>
      <c r="AD53" s="205">
        <f>AB53+AC53</f>
        <v>760832.60499999998</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177</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189</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176</v>
      </c>
      <c r="C63" s="11" t="s">
        <v>173</v>
      </c>
      <c r="D63" s="11" t="s">
        <v>173</v>
      </c>
      <c r="E63" s="11" t="s">
        <v>174</v>
      </c>
      <c r="F63" s="205">
        <f>(208739*748)-F31</f>
        <v>50837820</v>
      </c>
      <c r="G63" s="11"/>
      <c r="H63" s="11"/>
      <c r="I63" s="11"/>
      <c r="J63" s="205">
        <f>(1396208.27+10311.06)-J31</f>
        <v>479432.6100000001</v>
      </c>
      <c r="K63" s="205">
        <f>K31</f>
        <v>687942.40500000003</v>
      </c>
      <c r="M63" s="11">
        <f>19+1+666+1+2+6+2+5+29+2+136+591+4572+3+5+20+1-M31</f>
        <v>740</v>
      </c>
      <c r="N63" s="71"/>
      <c r="P63" s="206">
        <f>J63/M63</f>
        <v>647.88190540540552</v>
      </c>
      <c r="Q63" s="11"/>
      <c r="R63" s="11"/>
      <c r="S63" s="11"/>
      <c r="T63" s="205">
        <f>F63/M63</f>
        <v>68699.75675675676</v>
      </c>
      <c r="U63" s="11"/>
      <c r="V63" s="11"/>
      <c r="W63" s="11"/>
      <c r="Y63" s="205">
        <f>AD63</f>
        <v>703259.66500000004</v>
      </c>
      <c r="Z63" s="205">
        <f>Z31</f>
        <v>866322</v>
      </c>
      <c r="AB63" s="205">
        <f>AB31</f>
        <v>580078.995</v>
      </c>
      <c r="AC63" s="205">
        <f>AC31</f>
        <v>123180.67000000004</v>
      </c>
      <c r="AD63" s="205">
        <f>AB63+AC63</f>
        <v>703259.66500000004</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177</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190</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176</v>
      </c>
      <c r="C73" s="11" t="s">
        <v>173</v>
      </c>
      <c r="D73" s="11" t="s">
        <v>173</v>
      </c>
      <c r="E73" s="11" t="s">
        <v>174</v>
      </c>
      <c r="F73" s="205">
        <f>(206030*748)-F42</f>
        <v>49136868</v>
      </c>
      <c r="G73" s="11"/>
      <c r="H73" s="11"/>
      <c r="I73" s="11"/>
      <c r="J73" s="205">
        <f>(1011461.04+8309.65)-J42</f>
        <v>336847.29000000004</v>
      </c>
      <c r="K73" s="205">
        <f>K42</f>
        <v>470177.435</v>
      </c>
      <c r="M73" s="11">
        <f>1+701+7+32+3+137+588+4617+25-M42</f>
        <v>768</v>
      </c>
      <c r="N73" s="71"/>
      <c r="P73" s="206">
        <f>J73/M73</f>
        <v>438.60324218750003</v>
      </c>
      <c r="Q73" s="11"/>
      <c r="R73" s="11"/>
      <c r="S73" s="11"/>
      <c r="T73" s="205">
        <f>F73/M73</f>
        <v>63980.296875</v>
      </c>
      <c r="U73" s="11"/>
      <c r="V73" s="11"/>
      <c r="W73" s="11"/>
      <c r="Y73" s="205">
        <f>AD73</f>
        <v>509885.34500000003</v>
      </c>
      <c r="Z73" s="205">
        <f>Z42</f>
        <v>604749</v>
      </c>
      <c r="AB73" s="205">
        <f>AB42</f>
        <v>421976.44500000001</v>
      </c>
      <c r="AC73" s="205">
        <f>AC42</f>
        <v>87908.900000000023</v>
      </c>
      <c r="AD73" s="205">
        <f>AB73+AC73</f>
        <v>509885.34500000003</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205" t="s">
        <v>177</v>
      </c>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t="s">
        <v>187</v>
      </c>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62" t="s">
        <v>19</v>
      </c>
      <c r="L2" s="263"/>
      <c r="M2" s="98"/>
      <c r="N2" s="98"/>
      <c r="O2" s="262" t="s">
        <v>78</v>
      </c>
      <c r="P2" s="271"/>
      <c r="Q2" s="263"/>
      <c r="R2" s="98"/>
      <c r="S2" s="9"/>
      <c r="T2" s="9"/>
    </row>
    <row r="3" spans="1:16380" x14ac:dyDescent="0.25">
      <c r="A3" s="145" t="s">
        <v>14</v>
      </c>
      <c r="B3" s="146"/>
      <c r="C3" s="146"/>
      <c r="D3" s="147"/>
      <c r="E3" s="97"/>
      <c r="F3" s="97"/>
      <c r="G3" s="4"/>
      <c r="H3" s="9"/>
      <c r="I3" s="4"/>
      <c r="K3" s="264"/>
      <c r="L3" s="265"/>
      <c r="M3" s="98"/>
      <c r="N3" s="98"/>
      <c r="O3" s="264"/>
      <c r="P3" s="272"/>
      <c r="Q3" s="265"/>
      <c r="R3" s="98"/>
      <c r="S3" s="9"/>
      <c r="T3" s="9"/>
    </row>
    <row r="4" spans="1:16380" x14ac:dyDescent="0.25">
      <c r="A4" s="148" t="s">
        <v>15</v>
      </c>
      <c r="B4" s="140"/>
      <c r="C4" s="140"/>
      <c r="D4" s="149"/>
      <c r="E4" s="97"/>
      <c r="F4" s="97"/>
      <c r="G4" s="4"/>
      <c r="H4" s="9"/>
      <c r="I4" s="4"/>
      <c r="K4" s="264"/>
      <c r="L4" s="265"/>
      <c r="M4" s="98"/>
      <c r="N4" s="98"/>
      <c r="O4" s="264"/>
      <c r="P4" s="272"/>
      <c r="Q4" s="265"/>
      <c r="R4" s="98"/>
      <c r="S4" s="9"/>
      <c r="T4" s="9"/>
    </row>
    <row r="5" spans="1:16380" ht="15.75" thickBot="1" x14ac:dyDescent="0.3">
      <c r="A5" s="148" t="s">
        <v>16</v>
      </c>
      <c r="B5" s="140"/>
      <c r="C5" s="140"/>
      <c r="D5" s="149"/>
      <c r="E5" s="97"/>
      <c r="F5" s="140"/>
      <c r="G5" s="4"/>
      <c r="H5" s="9"/>
      <c r="I5" s="4"/>
      <c r="K5" s="266"/>
      <c r="L5" s="267"/>
      <c r="M5" s="98"/>
      <c r="N5" s="98"/>
      <c r="O5" s="264"/>
      <c r="P5" s="272"/>
      <c r="Q5" s="265"/>
      <c r="R5" s="98"/>
      <c r="S5" s="9"/>
      <c r="T5" s="9"/>
    </row>
    <row r="6" spans="1:16380" ht="15.75" thickBot="1" x14ac:dyDescent="0.3">
      <c r="A6" s="148" t="s">
        <v>17</v>
      </c>
      <c r="B6" s="140"/>
      <c r="C6" s="140"/>
      <c r="D6" s="149"/>
      <c r="E6" s="97"/>
      <c r="F6" s="140"/>
      <c r="G6" s="4"/>
      <c r="H6" s="9"/>
      <c r="I6" s="9"/>
      <c r="J6" s="98"/>
      <c r="L6" s="98"/>
      <c r="M6" s="98"/>
      <c r="N6" s="98"/>
      <c r="O6" s="266"/>
      <c r="P6" s="273"/>
      <c r="Q6" s="267"/>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179</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181</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68" t="s">
        <v>136</v>
      </c>
      <c r="P16" s="269"/>
      <c r="Q16" s="269"/>
      <c r="R16" s="270"/>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3"/>
      <c r="P17" s="244"/>
      <c r="Q17" s="244"/>
      <c r="R17" s="245"/>
      <c r="S17" s="97"/>
      <c r="T17" s="97"/>
      <c r="U17" s="97"/>
      <c r="V17" s="97"/>
    </row>
    <row r="18" spans="1:16384" s="153" customFormat="1" ht="12.75" x14ac:dyDescent="0.2">
      <c r="A18" s="56"/>
      <c r="B18" s="11"/>
      <c r="C18" s="11"/>
      <c r="D18" s="11"/>
      <c r="E18" s="11"/>
      <c r="F18" s="11"/>
      <c r="G18" s="11"/>
      <c r="H18" s="11"/>
      <c r="I18" s="11"/>
      <c r="J18" s="97"/>
      <c r="K18" s="11"/>
      <c r="L18" s="11"/>
      <c r="M18" s="11"/>
      <c r="N18" s="97"/>
      <c r="O18" s="243"/>
      <c r="P18" s="244"/>
      <c r="Q18" s="244"/>
      <c r="R18" s="245"/>
      <c r="S18" s="97"/>
      <c r="T18" s="97"/>
      <c r="U18" s="97"/>
      <c r="V18" s="97"/>
    </row>
    <row r="19" spans="1:16384" s="153" customFormat="1" ht="12.75" x14ac:dyDescent="0.2">
      <c r="A19" s="56"/>
      <c r="B19" s="11"/>
      <c r="C19" s="11"/>
      <c r="D19" s="11"/>
      <c r="E19" s="11"/>
      <c r="F19" s="11"/>
      <c r="G19" s="11"/>
      <c r="H19" s="11"/>
      <c r="I19" s="11"/>
      <c r="J19" s="97"/>
      <c r="K19" s="11"/>
      <c r="L19" s="11"/>
      <c r="M19" s="11"/>
      <c r="N19" s="97"/>
      <c r="O19" s="243"/>
      <c r="P19" s="244"/>
      <c r="Q19" s="244"/>
      <c r="R19" s="245"/>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3"/>
      <c r="P20" s="244"/>
      <c r="Q20" s="244"/>
      <c r="R20" s="245"/>
      <c r="S20" s="97"/>
      <c r="T20" s="97"/>
      <c r="U20" s="97"/>
      <c r="V20" s="97"/>
    </row>
    <row r="21" spans="1:16384" s="153" customFormat="1" ht="12.75" x14ac:dyDescent="0.2">
      <c r="A21" s="56"/>
      <c r="B21" s="11"/>
      <c r="C21" s="11"/>
      <c r="D21" s="11"/>
      <c r="E21" s="11"/>
      <c r="F21" s="11"/>
      <c r="G21" s="11"/>
      <c r="H21" s="11"/>
      <c r="I21" s="11"/>
      <c r="J21" s="97"/>
      <c r="K21" s="11"/>
      <c r="L21" s="11"/>
      <c r="M21" s="11"/>
      <c r="N21" s="97"/>
      <c r="O21" s="243"/>
      <c r="P21" s="244"/>
      <c r="Q21" s="244"/>
      <c r="R21" s="245"/>
      <c r="S21" s="97"/>
      <c r="T21" s="97"/>
      <c r="U21" s="97"/>
      <c r="V21" s="97"/>
    </row>
    <row r="22" spans="1:16384" s="153" customFormat="1" ht="12.75" x14ac:dyDescent="0.2">
      <c r="A22" s="56"/>
      <c r="B22" s="11"/>
      <c r="C22" s="11"/>
      <c r="D22" s="11"/>
      <c r="E22" s="11"/>
      <c r="F22" s="11"/>
      <c r="G22" s="11"/>
      <c r="H22" s="11"/>
      <c r="I22" s="11"/>
      <c r="J22" s="97"/>
      <c r="K22" s="11"/>
      <c r="L22" s="11"/>
      <c r="M22" s="11"/>
      <c r="N22" s="97"/>
      <c r="O22" s="243"/>
      <c r="P22" s="244"/>
      <c r="Q22" s="244"/>
      <c r="R22" s="245"/>
      <c r="S22" s="97"/>
      <c r="T22" s="97"/>
      <c r="U22" s="97"/>
      <c r="V22" s="97"/>
    </row>
    <row r="23" spans="1:16384" s="153" customFormat="1" ht="12.75" x14ac:dyDescent="0.2">
      <c r="A23" s="56"/>
      <c r="B23" s="11"/>
      <c r="C23" s="11"/>
      <c r="D23" s="11"/>
      <c r="E23" s="11"/>
      <c r="F23" s="11"/>
      <c r="G23" s="11"/>
      <c r="H23" s="11"/>
      <c r="I23" s="11"/>
      <c r="J23" s="97"/>
      <c r="K23" s="11"/>
      <c r="L23" s="11"/>
      <c r="M23" s="11"/>
      <c r="N23" s="97"/>
      <c r="O23" s="243"/>
      <c r="P23" s="244"/>
      <c r="Q23" s="244"/>
      <c r="R23" s="245"/>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46"/>
      <c r="P24" s="247"/>
      <c r="Q24" s="247"/>
      <c r="R24" s="248"/>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49"/>
      <c r="P25" s="250"/>
      <c r="Q25" s="250"/>
      <c r="R25" s="251"/>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55" t="s">
        <v>136</v>
      </c>
      <c r="P27" s="256"/>
      <c r="Q27" s="256"/>
      <c r="R27" s="257"/>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3"/>
      <c r="P28" s="244"/>
      <c r="Q28" s="244"/>
      <c r="R28" s="245"/>
      <c r="S28" s="261"/>
      <c r="T28" s="261"/>
      <c r="U28" s="261"/>
      <c r="V28" s="261"/>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s="185" customFormat="1" x14ac:dyDescent="0.25">
      <c r="A29" s="56"/>
      <c r="B29" s="11"/>
      <c r="C29" s="11"/>
      <c r="D29" s="11"/>
      <c r="E29" s="11"/>
      <c r="F29" s="11"/>
      <c r="G29" s="11"/>
      <c r="H29" s="11"/>
      <c r="I29" s="11"/>
      <c r="J29" s="97"/>
      <c r="K29" s="11"/>
      <c r="L29" s="11"/>
      <c r="M29" s="11"/>
      <c r="N29" s="97"/>
      <c r="O29" s="243"/>
      <c r="P29" s="244"/>
      <c r="Q29" s="244"/>
      <c r="R29" s="245"/>
      <c r="S29" s="261"/>
      <c r="T29" s="261"/>
      <c r="U29" s="261"/>
      <c r="V29" s="261"/>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s="185" customFormat="1" x14ac:dyDescent="0.25">
      <c r="A30" s="56"/>
      <c r="B30" s="11"/>
      <c r="C30" s="11"/>
      <c r="D30" s="11"/>
      <c r="E30" s="11"/>
      <c r="F30" s="11"/>
      <c r="G30" s="11"/>
      <c r="H30" s="11"/>
      <c r="I30" s="11"/>
      <c r="J30" s="97"/>
      <c r="K30" s="11"/>
      <c r="L30" s="11"/>
      <c r="M30" s="11"/>
      <c r="N30" s="97"/>
      <c r="O30" s="243"/>
      <c r="P30" s="244"/>
      <c r="Q30" s="244"/>
      <c r="R30" s="245"/>
      <c r="S30" s="261"/>
      <c r="T30" s="261"/>
      <c r="U30" s="261"/>
      <c r="V30" s="261"/>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s="185" customFormat="1" x14ac:dyDescent="0.25">
      <c r="A31" s="56"/>
      <c r="B31" s="11"/>
      <c r="C31" s="11"/>
      <c r="D31" s="11"/>
      <c r="E31" s="11"/>
      <c r="F31" s="11"/>
      <c r="G31" s="11"/>
      <c r="H31" s="11"/>
      <c r="I31" s="11"/>
      <c r="J31" s="97"/>
      <c r="K31" s="11"/>
      <c r="L31" s="11"/>
      <c r="M31" s="11"/>
      <c r="N31" s="97"/>
      <c r="O31" s="243"/>
      <c r="P31" s="244"/>
      <c r="Q31" s="244"/>
      <c r="R31" s="245"/>
      <c r="S31" s="261"/>
      <c r="T31" s="261"/>
      <c r="U31" s="261"/>
      <c r="V31" s="261"/>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s="185" customFormat="1" x14ac:dyDescent="0.25">
      <c r="A32" s="56"/>
      <c r="B32" s="11"/>
      <c r="C32" s="11"/>
      <c r="D32" s="11"/>
      <c r="E32" s="11"/>
      <c r="F32" s="11"/>
      <c r="G32" s="11"/>
      <c r="H32" s="11"/>
      <c r="I32" s="11"/>
      <c r="J32" s="97"/>
      <c r="K32" s="11"/>
      <c r="L32" s="11"/>
      <c r="M32" s="11"/>
      <c r="N32" s="97"/>
      <c r="O32" s="243"/>
      <c r="P32" s="244"/>
      <c r="Q32" s="244"/>
      <c r="R32" s="245"/>
      <c r="S32" s="261"/>
      <c r="T32" s="261"/>
      <c r="U32" s="261"/>
      <c r="V32" s="261"/>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s="185" customFormat="1" x14ac:dyDescent="0.25">
      <c r="A33" s="56"/>
      <c r="B33" s="11"/>
      <c r="C33" s="11"/>
      <c r="D33" s="11"/>
      <c r="E33" s="11"/>
      <c r="F33" s="11"/>
      <c r="G33" s="11"/>
      <c r="H33" s="11"/>
      <c r="I33" s="11"/>
      <c r="J33" s="97"/>
      <c r="K33" s="11"/>
      <c r="L33" s="11"/>
      <c r="M33" s="11"/>
      <c r="N33" s="97"/>
      <c r="O33" s="243"/>
      <c r="P33" s="244"/>
      <c r="Q33" s="244"/>
      <c r="R33" s="245"/>
      <c r="S33" s="261"/>
      <c r="T33" s="261"/>
      <c r="U33" s="261"/>
      <c r="V33" s="261"/>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s="185" customFormat="1" x14ac:dyDescent="0.25">
      <c r="A34" s="56"/>
      <c r="B34" s="11"/>
      <c r="C34" s="11"/>
      <c r="D34" s="11"/>
      <c r="E34" s="11"/>
      <c r="F34" s="11"/>
      <c r="G34" s="11"/>
      <c r="H34" s="11"/>
      <c r="I34" s="11"/>
      <c r="J34" s="97"/>
      <c r="K34" s="11"/>
      <c r="L34" s="11"/>
      <c r="M34" s="11"/>
      <c r="N34" s="97"/>
      <c r="O34" s="243"/>
      <c r="P34" s="244"/>
      <c r="Q34" s="244"/>
      <c r="R34" s="245"/>
      <c r="S34" s="261"/>
      <c r="T34" s="261"/>
      <c r="U34" s="261"/>
      <c r="V34" s="261"/>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s="185" customFormat="1" ht="15.75" thickBot="1" x14ac:dyDescent="0.3">
      <c r="A35" s="56"/>
      <c r="B35" s="102"/>
      <c r="C35" s="102"/>
      <c r="D35" s="102"/>
      <c r="E35" s="102"/>
      <c r="F35" s="102"/>
      <c r="G35" s="102"/>
      <c r="H35" s="102"/>
      <c r="I35" s="102"/>
      <c r="J35" s="97"/>
      <c r="K35" s="102"/>
      <c r="L35" s="102"/>
      <c r="M35" s="102"/>
      <c r="N35" s="97"/>
      <c r="O35" s="252"/>
      <c r="P35" s="253"/>
      <c r="Q35" s="253"/>
      <c r="R35" s="254"/>
      <c r="S35" s="261"/>
      <c r="T35" s="261"/>
      <c r="U35" s="261"/>
      <c r="V35" s="261"/>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s="185" customFormat="1" ht="15.75" thickBot="1" x14ac:dyDescent="0.3">
      <c r="A36" s="56"/>
      <c r="B36" s="103" t="s">
        <v>104</v>
      </c>
      <c r="C36" s="104"/>
      <c r="D36" s="104"/>
      <c r="E36" s="104"/>
      <c r="F36" s="105"/>
      <c r="G36" s="105"/>
      <c r="H36" s="105"/>
      <c r="I36" s="109" t="s">
        <v>106</v>
      </c>
      <c r="J36" s="97"/>
      <c r="K36" s="105"/>
      <c r="L36" s="105"/>
      <c r="M36" s="105"/>
      <c r="N36" s="97"/>
      <c r="O36" s="249"/>
      <c r="P36" s="250"/>
      <c r="Q36" s="250"/>
      <c r="R36" s="251"/>
      <c r="S36" s="261"/>
      <c r="T36" s="261"/>
      <c r="U36" s="261"/>
      <c r="V36" s="261"/>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55" t="s">
        <v>136</v>
      </c>
      <c r="P38" s="256"/>
      <c r="Q38" s="256"/>
      <c r="R38" s="257"/>
      <c r="U38" s="4"/>
      <c r="V38" s="4"/>
    </row>
    <row r="39" spans="1:16384" x14ac:dyDescent="0.25">
      <c r="A39" s="56"/>
      <c r="B39" s="11"/>
      <c r="C39" s="11"/>
      <c r="D39" s="11"/>
      <c r="E39" s="11"/>
      <c r="F39" s="11"/>
      <c r="G39" s="11"/>
      <c r="H39" s="11"/>
      <c r="I39" s="11"/>
      <c r="K39" s="11"/>
      <c r="L39" s="11"/>
      <c r="M39" s="11"/>
      <c r="O39" s="243"/>
      <c r="P39" s="244"/>
      <c r="Q39" s="244"/>
      <c r="R39" s="245"/>
      <c r="U39" s="4"/>
      <c r="V39" s="4"/>
    </row>
    <row r="40" spans="1:16384" x14ac:dyDescent="0.25">
      <c r="A40" s="56"/>
      <c r="B40" s="11"/>
      <c r="C40" s="11"/>
      <c r="D40" s="11"/>
      <c r="E40" s="11"/>
      <c r="F40" s="11"/>
      <c r="G40" s="11"/>
      <c r="H40" s="11"/>
      <c r="I40" s="11"/>
      <c r="K40" s="11"/>
      <c r="L40" s="11"/>
      <c r="M40" s="11"/>
      <c r="O40" s="243"/>
      <c r="P40" s="244"/>
      <c r="Q40" s="244"/>
      <c r="R40" s="245"/>
      <c r="U40" s="4"/>
      <c r="V40" s="4"/>
    </row>
    <row r="41" spans="1:16384" x14ac:dyDescent="0.25">
      <c r="A41" s="56"/>
      <c r="B41" s="11"/>
      <c r="C41" s="11"/>
      <c r="D41" s="11"/>
      <c r="E41" s="11"/>
      <c r="F41" s="11"/>
      <c r="G41" s="11"/>
      <c r="H41" s="11"/>
      <c r="I41" s="11"/>
      <c r="K41" s="11"/>
      <c r="L41" s="11"/>
      <c r="M41" s="11"/>
      <c r="O41" s="243"/>
      <c r="P41" s="244"/>
      <c r="Q41" s="244"/>
      <c r="R41" s="245"/>
      <c r="U41" s="4"/>
      <c r="V41" s="4"/>
    </row>
    <row r="42" spans="1:16384" x14ac:dyDescent="0.25">
      <c r="A42" s="56"/>
      <c r="B42" s="11"/>
      <c r="C42" s="11"/>
      <c r="D42" s="11"/>
      <c r="E42" s="11"/>
      <c r="F42" s="11"/>
      <c r="G42" s="11"/>
      <c r="H42" s="11"/>
      <c r="I42" s="11"/>
      <c r="K42" s="11"/>
      <c r="L42" s="11"/>
      <c r="M42" s="11"/>
      <c r="O42" s="243"/>
      <c r="P42" s="244"/>
      <c r="Q42" s="244"/>
      <c r="R42" s="245"/>
      <c r="U42" s="4"/>
      <c r="V42" s="4"/>
    </row>
    <row r="43" spans="1:16384" x14ac:dyDescent="0.25">
      <c r="A43" s="56"/>
      <c r="B43" s="11"/>
      <c r="C43" s="11"/>
      <c r="D43" s="11"/>
      <c r="E43" s="11"/>
      <c r="F43" s="11"/>
      <c r="G43" s="11"/>
      <c r="H43" s="11"/>
      <c r="I43" s="11"/>
      <c r="K43" s="11"/>
      <c r="L43" s="11"/>
      <c r="M43" s="11"/>
      <c r="O43" s="243"/>
      <c r="P43" s="244"/>
      <c r="Q43" s="244"/>
      <c r="R43" s="245"/>
      <c r="U43" s="4"/>
      <c r="V43" s="4"/>
    </row>
    <row r="44" spans="1:16384" x14ac:dyDescent="0.25">
      <c r="A44" s="56"/>
      <c r="B44" s="11"/>
      <c r="C44" s="11"/>
      <c r="D44" s="11"/>
      <c r="E44" s="11"/>
      <c r="F44" s="11"/>
      <c r="G44" s="11"/>
      <c r="H44" s="11"/>
      <c r="I44" s="11"/>
      <c r="K44" s="11"/>
      <c r="L44" s="11"/>
      <c r="M44" s="11"/>
      <c r="O44" s="243"/>
      <c r="P44" s="244"/>
      <c r="Q44" s="244"/>
      <c r="R44" s="245"/>
      <c r="U44" s="4"/>
      <c r="V44" s="4"/>
    </row>
    <row r="45" spans="1:16384" x14ac:dyDescent="0.25">
      <c r="A45" s="56"/>
      <c r="B45" s="11"/>
      <c r="C45" s="11"/>
      <c r="D45" s="11"/>
      <c r="E45" s="11"/>
      <c r="F45" s="11"/>
      <c r="G45" s="11"/>
      <c r="H45" s="11"/>
      <c r="I45" s="11"/>
      <c r="K45" s="11"/>
      <c r="L45" s="11"/>
      <c r="M45" s="11"/>
      <c r="O45" s="243"/>
      <c r="P45" s="244"/>
      <c r="Q45" s="244"/>
      <c r="R45" s="245"/>
      <c r="U45" s="4"/>
      <c r="V45" s="4"/>
    </row>
    <row r="46" spans="1:16384" ht="15.75" thickBot="1" x14ac:dyDescent="0.3">
      <c r="A46" s="56"/>
      <c r="B46" s="102"/>
      <c r="C46" s="102"/>
      <c r="D46" s="102"/>
      <c r="E46" s="102"/>
      <c r="F46" s="102"/>
      <c r="G46" s="102"/>
      <c r="H46" s="102"/>
      <c r="I46" s="102"/>
      <c r="K46" s="102"/>
      <c r="L46" s="102"/>
      <c r="M46" s="102"/>
      <c r="O46" s="252"/>
      <c r="P46" s="253"/>
      <c r="Q46" s="253"/>
      <c r="R46" s="254"/>
      <c r="U46" s="4"/>
      <c r="V46" s="4"/>
    </row>
    <row r="47" spans="1:16384" ht="15.75" thickBot="1" x14ac:dyDescent="0.3">
      <c r="A47" s="56"/>
      <c r="B47" s="103" t="s">
        <v>104</v>
      </c>
      <c r="C47" s="104"/>
      <c r="D47" s="104"/>
      <c r="E47" s="104"/>
      <c r="F47" s="105"/>
      <c r="G47" s="105"/>
      <c r="H47" s="105"/>
      <c r="I47" s="109" t="s">
        <v>106</v>
      </c>
      <c r="K47" s="105"/>
      <c r="L47" s="105"/>
      <c r="M47" s="105"/>
      <c r="O47" s="249"/>
      <c r="P47" s="250"/>
      <c r="Q47" s="250"/>
      <c r="R47" s="251"/>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58" t="s">
        <v>136</v>
      </c>
      <c r="P49" s="259"/>
      <c r="Q49" s="259"/>
      <c r="R49" s="259"/>
      <c r="U49" s="4"/>
      <c r="V49" s="4"/>
    </row>
    <row r="50" spans="1:22" x14ac:dyDescent="0.25">
      <c r="A50" s="56"/>
      <c r="B50" s="11"/>
      <c r="C50" s="11"/>
      <c r="D50" s="11"/>
      <c r="E50" s="11"/>
      <c r="F50" s="11"/>
      <c r="G50" s="11"/>
      <c r="H50" s="11"/>
      <c r="I50" s="11"/>
      <c r="K50" s="11"/>
      <c r="L50" s="11"/>
      <c r="M50" s="11"/>
      <c r="O50" s="243"/>
      <c r="P50" s="244"/>
      <c r="Q50" s="244"/>
      <c r="R50" s="245"/>
      <c r="U50" s="4"/>
      <c r="V50" s="4"/>
    </row>
    <row r="51" spans="1:22" x14ac:dyDescent="0.25">
      <c r="A51" s="56"/>
      <c r="B51" s="11"/>
      <c r="C51" s="11"/>
      <c r="D51" s="11"/>
      <c r="E51" s="11"/>
      <c r="F51" s="11"/>
      <c r="G51" s="11"/>
      <c r="H51" s="11"/>
      <c r="I51" s="11"/>
      <c r="K51" s="11"/>
      <c r="L51" s="11"/>
      <c r="M51" s="11"/>
      <c r="O51" s="243"/>
      <c r="P51" s="244"/>
      <c r="Q51" s="244"/>
      <c r="R51" s="245"/>
      <c r="U51" s="4"/>
      <c r="V51" s="4"/>
    </row>
    <row r="52" spans="1:22" x14ac:dyDescent="0.25">
      <c r="A52" s="56"/>
      <c r="B52" s="11"/>
      <c r="C52" s="11"/>
      <c r="D52" s="11"/>
      <c r="E52" s="11"/>
      <c r="F52" s="11"/>
      <c r="G52" s="11"/>
      <c r="H52" s="11"/>
      <c r="I52" s="11"/>
      <c r="K52" s="11"/>
      <c r="L52" s="11"/>
      <c r="M52" s="11"/>
      <c r="O52" s="243"/>
      <c r="P52" s="244"/>
      <c r="Q52" s="244"/>
      <c r="R52" s="245"/>
      <c r="U52" s="4"/>
      <c r="V52" s="4"/>
    </row>
    <row r="53" spans="1:22" x14ac:dyDescent="0.25">
      <c r="A53" s="56"/>
      <c r="B53" s="11"/>
      <c r="C53" s="11"/>
      <c r="D53" s="11"/>
      <c r="E53" s="11"/>
      <c r="F53" s="11"/>
      <c r="G53" s="11"/>
      <c r="H53" s="11"/>
      <c r="I53" s="11"/>
      <c r="K53" s="11"/>
      <c r="L53" s="11"/>
      <c r="M53" s="11"/>
      <c r="O53" s="243"/>
      <c r="P53" s="244"/>
      <c r="Q53" s="244"/>
      <c r="R53" s="245"/>
      <c r="U53" s="4"/>
      <c r="V53" s="4"/>
    </row>
    <row r="54" spans="1:22" x14ac:dyDescent="0.25">
      <c r="A54" s="56"/>
      <c r="B54" s="11"/>
      <c r="C54" s="11"/>
      <c r="D54" s="11"/>
      <c r="E54" s="11"/>
      <c r="F54" s="11"/>
      <c r="G54" s="11"/>
      <c r="H54" s="11"/>
      <c r="I54" s="11"/>
      <c r="K54" s="11"/>
      <c r="L54" s="11"/>
      <c r="M54" s="11"/>
      <c r="O54" s="243"/>
      <c r="P54" s="244"/>
      <c r="Q54" s="244"/>
      <c r="R54" s="245"/>
      <c r="U54" s="4"/>
      <c r="V54" s="4"/>
    </row>
    <row r="55" spans="1:22" x14ac:dyDescent="0.25">
      <c r="A55" s="56"/>
      <c r="B55" s="11"/>
      <c r="C55" s="11"/>
      <c r="D55" s="11"/>
      <c r="E55" s="11"/>
      <c r="F55" s="11"/>
      <c r="G55" s="11"/>
      <c r="H55" s="11"/>
      <c r="I55" s="11"/>
      <c r="K55" s="11"/>
      <c r="L55" s="11"/>
      <c r="M55" s="11"/>
      <c r="O55" s="243"/>
      <c r="P55" s="244"/>
      <c r="Q55" s="244"/>
      <c r="R55" s="245"/>
      <c r="U55" s="4"/>
      <c r="V55" s="4"/>
    </row>
    <row r="56" spans="1:22" ht="15.75" thickBot="1" x14ac:dyDescent="0.3">
      <c r="A56" s="56"/>
      <c r="B56" s="102"/>
      <c r="C56" s="102"/>
      <c r="D56" s="102"/>
      <c r="E56" s="102"/>
      <c r="F56" s="102"/>
      <c r="G56" s="102"/>
      <c r="H56" s="102"/>
      <c r="I56" s="102"/>
      <c r="K56" s="102"/>
      <c r="L56" s="102"/>
      <c r="M56" s="102"/>
      <c r="O56" s="246"/>
      <c r="P56" s="247"/>
      <c r="Q56" s="247"/>
      <c r="R56" s="248"/>
      <c r="U56" s="4"/>
      <c r="V56" s="4"/>
    </row>
    <row r="57" spans="1:22" ht="15.75" thickBot="1" x14ac:dyDescent="0.3">
      <c r="A57" s="56"/>
      <c r="B57" s="103" t="s">
        <v>104</v>
      </c>
      <c r="C57" s="104"/>
      <c r="D57" s="104"/>
      <c r="E57" s="104"/>
      <c r="F57" s="105"/>
      <c r="G57" s="105"/>
      <c r="H57" s="105"/>
      <c r="I57" s="109" t="s">
        <v>106</v>
      </c>
      <c r="K57" s="105"/>
      <c r="L57" s="105"/>
      <c r="M57" s="105"/>
      <c r="O57" s="249"/>
      <c r="P57" s="250"/>
      <c r="Q57" s="250"/>
      <c r="R57" s="251"/>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40" t="s">
        <v>136</v>
      </c>
      <c r="P59" s="241"/>
      <c r="Q59" s="241"/>
      <c r="R59" s="242"/>
      <c r="U59" s="4"/>
      <c r="V59" s="4"/>
    </row>
    <row r="60" spans="1:22" x14ac:dyDescent="0.25">
      <c r="A60" s="56"/>
      <c r="B60" s="11"/>
      <c r="C60" s="11"/>
      <c r="D60" s="11"/>
      <c r="E60" s="11"/>
      <c r="F60" s="11"/>
      <c r="G60" s="11"/>
      <c r="H60" s="11"/>
      <c r="I60" s="11"/>
      <c r="K60" s="11"/>
      <c r="L60" s="11"/>
      <c r="M60" s="11"/>
      <c r="O60" s="243"/>
      <c r="P60" s="244"/>
      <c r="Q60" s="244"/>
      <c r="R60" s="245"/>
      <c r="U60" s="4"/>
      <c r="V60" s="4"/>
    </row>
    <row r="61" spans="1:22" x14ac:dyDescent="0.25">
      <c r="A61" s="56"/>
      <c r="B61" s="11"/>
      <c r="C61" s="11"/>
      <c r="D61" s="11"/>
      <c r="E61" s="11"/>
      <c r="F61" s="11"/>
      <c r="G61" s="11"/>
      <c r="H61" s="11"/>
      <c r="I61" s="11"/>
      <c r="K61" s="11"/>
      <c r="L61" s="11"/>
      <c r="M61" s="11"/>
      <c r="O61" s="243"/>
      <c r="P61" s="244"/>
      <c r="Q61" s="244"/>
      <c r="R61" s="245"/>
      <c r="U61" s="4"/>
      <c r="V61" s="4"/>
    </row>
    <row r="62" spans="1:22" x14ac:dyDescent="0.25">
      <c r="A62" s="56"/>
      <c r="B62" s="11"/>
      <c r="C62" s="11"/>
      <c r="D62" s="11"/>
      <c r="E62" s="11"/>
      <c r="F62" s="11"/>
      <c r="G62" s="11"/>
      <c r="H62" s="11"/>
      <c r="I62" s="11"/>
      <c r="K62" s="11"/>
      <c r="L62" s="11"/>
      <c r="M62" s="11"/>
      <c r="O62" s="243"/>
      <c r="P62" s="244"/>
      <c r="Q62" s="244"/>
      <c r="R62" s="245"/>
      <c r="U62" s="4"/>
      <c r="V62" s="4"/>
    </row>
    <row r="63" spans="1:22" x14ac:dyDescent="0.25">
      <c r="A63" s="56"/>
      <c r="B63" s="11"/>
      <c r="C63" s="11"/>
      <c r="D63" s="11"/>
      <c r="E63" s="11"/>
      <c r="F63" s="11"/>
      <c r="G63" s="11"/>
      <c r="H63" s="11"/>
      <c r="I63" s="11"/>
      <c r="K63" s="11"/>
      <c r="L63" s="11"/>
      <c r="M63" s="11"/>
      <c r="O63" s="243"/>
      <c r="P63" s="244"/>
      <c r="Q63" s="244"/>
      <c r="R63" s="245"/>
      <c r="U63" s="4"/>
      <c r="V63" s="4"/>
    </row>
    <row r="64" spans="1:22" x14ac:dyDescent="0.25">
      <c r="A64" s="56"/>
      <c r="B64" s="11"/>
      <c r="C64" s="11"/>
      <c r="D64" s="11"/>
      <c r="E64" s="11"/>
      <c r="F64" s="11"/>
      <c r="G64" s="11"/>
      <c r="H64" s="11"/>
      <c r="I64" s="11"/>
      <c r="K64" s="11"/>
      <c r="L64" s="11"/>
      <c r="M64" s="11"/>
      <c r="O64" s="243"/>
      <c r="P64" s="244"/>
      <c r="Q64" s="244"/>
      <c r="R64" s="245"/>
      <c r="U64" s="4"/>
      <c r="V64" s="4"/>
    </row>
    <row r="65" spans="1:22" x14ac:dyDescent="0.25">
      <c r="A65" s="56"/>
      <c r="B65" s="11"/>
      <c r="C65" s="11"/>
      <c r="D65" s="11"/>
      <c r="E65" s="11"/>
      <c r="F65" s="11"/>
      <c r="G65" s="11"/>
      <c r="H65" s="11"/>
      <c r="I65" s="11"/>
      <c r="K65" s="11"/>
      <c r="L65" s="11"/>
      <c r="M65" s="11"/>
      <c r="O65" s="243"/>
      <c r="P65" s="244"/>
      <c r="Q65" s="244"/>
      <c r="R65" s="245"/>
      <c r="U65" s="4"/>
      <c r="V65" s="4"/>
    </row>
    <row r="66" spans="1:22" ht="15.75" thickBot="1" x14ac:dyDescent="0.3">
      <c r="A66" s="56"/>
      <c r="B66" s="102"/>
      <c r="C66" s="102"/>
      <c r="D66" s="102"/>
      <c r="E66" s="102"/>
      <c r="F66" s="102"/>
      <c r="G66" s="102"/>
      <c r="H66" s="102"/>
      <c r="I66" s="102"/>
      <c r="K66" s="102"/>
      <c r="L66" s="102"/>
      <c r="M66" s="102"/>
      <c r="O66" s="246"/>
      <c r="P66" s="247"/>
      <c r="Q66" s="247"/>
      <c r="R66" s="248"/>
      <c r="U66" s="4"/>
      <c r="V66" s="4"/>
    </row>
    <row r="67" spans="1:22" ht="15.75" thickBot="1" x14ac:dyDescent="0.3">
      <c r="A67" s="56"/>
      <c r="B67" s="103" t="s">
        <v>104</v>
      </c>
      <c r="C67" s="104"/>
      <c r="D67" s="104"/>
      <c r="E67" s="104"/>
      <c r="F67" s="105"/>
      <c r="G67" s="105"/>
      <c r="H67" s="105"/>
      <c r="I67" s="109" t="s">
        <v>106</v>
      </c>
      <c r="K67" s="105"/>
      <c r="L67" s="105"/>
      <c r="M67" s="105"/>
      <c r="O67" s="249"/>
      <c r="P67" s="250"/>
      <c r="Q67" s="250"/>
      <c r="R67" s="251"/>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40" t="s">
        <v>136</v>
      </c>
      <c r="P69" s="241"/>
      <c r="Q69" s="241"/>
      <c r="R69" s="242"/>
      <c r="U69" s="4"/>
      <c r="V69" s="4"/>
    </row>
    <row r="70" spans="1:22" x14ac:dyDescent="0.25">
      <c r="A70" s="56"/>
      <c r="B70" s="11"/>
      <c r="C70" s="11"/>
      <c r="D70" s="11"/>
      <c r="E70" s="11"/>
      <c r="F70" s="11"/>
      <c r="G70" s="11"/>
      <c r="H70" s="11"/>
      <c r="I70" s="11"/>
      <c r="K70" s="11"/>
      <c r="L70" s="11"/>
      <c r="M70" s="11"/>
      <c r="O70" s="243"/>
      <c r="P70" s="244"/>
      <c r="Q70" s="244"/>
      <c r="R70" s="245"/>
      <c r="U70" s="4"/>
      <c r="V70" s="4"/>
    </row>
    <row r="71" spans="1:22" x14ac:dyDescent="0.25">
      <c r="A71" s="56"/>
      <c r="B71" s="11"/>
      <c r="C71" s="11"/>
      <c r="D71" s="11"/>
      <c r="E71" s="11"/>
      <c r="F71" s="11"/>
      <c r="G71" s="11"/>
      <c r="H71" s="11"/>
      <c r="I71" s="11"/>
      <c r="K71" s="11"/>
      <c r="L71" s="11"/>
      <c r="M71" s="11"/>
      <c r="O71" s="243"/>
      <c r="P71" s="244"/>
      <c r="Q71" s="244"/>
      <c r="R71" s="245"/>
      <c r="U71" s="4"/>
      <c r="V71" s="4"/>
    </row>
    <row r="72" spans="1:22" x14ac:dyDescent="0.25">
      <c r="A72" s="56"/>
      <c r="B72" s="11"/>
      <c r="C72" s="11"/>
      <c r="D72" s="11"/>
      <c r="E72" s="11"/>
      <c r="F72" s="11"/>
      <c r="G72" s="11"/>
      <c r="H72" s="11"/>
      <c r="I72" s="11"/>
      <c r="K72" s="11"/>
      <c r="L72" s="11"/>
      <c r="M72" s="11"/>
      <c r="O72" s="243"/>
      <c r="P72" s="244"/>
      <c r="Q72" s="244"/>
      <c r="R72" s="245"/>
      <c r="U72" s="4"/>
      <c r="V72" s="4"/>
    </row>
    <row r="73" spans="1:22" x14ac:dyDescent="0.25">
      <c r="A73" s="56"/>
      <c r="B73" s="11"/>
      <c r="C73" s="11"/>
      <c r="D73" s="11"/>
      <c r="E73" s="11"/>
      <c r="F73" s="11"/>
      <c r="G73" s="11"/>
      <c r="H73" s="11"/>
      <c r="I73" s="11"/>
      <c r="K73" s="11"/>
      <c r="L73" s="11"/>
      <c r="M73" s="11"/>
      <c r="O73" s="243"/>
      <c r="P73" s="244"/>
      <c r="Q73" s="244"/>
      <c r="R73" s="245"/>
      <c r="U73" s="4"/>
      <c r="V73" s="4"/>
    </row>
    <row r="74" spans="1:22" x14ac:dyDescent="0.25">
      <c r="A74" s="56"/>
      <c r="B74" s="11"/>
      <c r="C74" s="11"/>
      <c r="D74" s="11"/>
      <c r="E74" s="11"/>
      <c r="F74" s="11"/>
      <c r="G74" s="11"/>
      <c r="H74" s="11"/>
      <c r="I74" s="11"/>
      <c r="K74" s="11"/>
      <c r="L74" s="11"/>
      <c r="M74" s="11"/>
      <c r="O74" s="243"/>
      <c r="P74" s="244"/>
      <c r="Q74" s="244"/>
      <c r="R74" s="245"/>
      <c r="U74" s="4"/>
      <c r="V74" s="4"/>
    </row>
    <row r="75" spans="1:22" x14ac:dyDescent="0.25">
      <c r="A75" s="56"/>
      <c r="B75" s="11"/>
      <c r="C75" s="11"/>
      <c r="D75" s="11"/>
      <c r="E75" s="11"/>
      <c r="F75" s="11"/>
      <c r="G75" s="11"/>
      <c r="H75" s="11"/>
      <c r="I75" s="11"/>
      <c r="K75" s="11"/>
      <c r="L75" s="11"/>
      <c r="M75" s="11"/>
      <c r="O75" s="243"/>
      <c r="P75" s="244"/>
      <c r="Q75" s="244"/>
      <c r="R75" s="245"/>
      <c r="U75" s="4"/>
      <c r="V75" s="4"/>
    </row>
    <row r="76" spans="1:22" ht="15.75" thickBot="1" x14ac:dyDescent="0.3">
      <c r="A76" s="56"/>
      <c r="B76" s="102"/>
      <c r="C76" s="102"/>
      <c r="D76" s="102"/>
      <c r="E76" s="102"/>
      <c r="F76" s="102"/>
      <c r="G76" s="102"/>
      <c r="H76" s="102"/>
      <c r="I76" s="102"/>
      <c r="K76" s="102"/>
      <c r="L76" s="102"/>
      <c r="M76" s="102"/>
      <c r="O76" s="246"/>
      <c r="P76" s="247"/>
      <c r="Q76" s="247"/>
      <c r="R76" s="248"/>
      <c r="U76" s="4"/>
      <c r="V76" s="4"/>
    </row>
    <row r="77" spans="1:22" ht="15.75" thickBot="1" x14ac:dyDescent="0.3">
      <c r="A77" s="56"/>
      <c r="B77" s="103" t="s">
        <v>104</v>
      </c>
      <c r="C77" s="104"/>
      <c r="D77" s="104"/>
      <c r="E77" s="104"/>
      <c r="F77" s="105"/>
      <c r="G77" s="105"/>
      <c r="H77" s="105"/>
      <c r="I77" s="109" t="s">
        <v>106</v>
      </c>
      <c r="K77" s="107"/>
      <c r="L77" s="105"/>
      <c r="M77" s="106"/>
      <c r="O77" s="249"/>
      <c r="P77" s="250"/>
      <c r="Q77" s="250"/>
      <c r="R77" s="251"/>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1" zoomScale="80" zoomScaleNormal="80" zoomScalePageLayoutView="40" workbookViewId="0">
      <selection activeCell="A18" sqref="A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7" t="s">
        <v>30</v>
      </c>
      <c r="B2" s="278"/>
      <c r="C2" s="278"/>
      <c r="D2" s="278"/>
      <c r="E2" s="279"/>
      <c r="H2" s="284"/>
      <c r="I2" s="284"/>
      <c r="J2" s="284"/>
      <c r="K2" s="284"/>
      <c r="L2" s="284"/>
      <c r="M2" s="284"/>
      <c r="N2" s="284"/>
      <c r="O2" s="28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0"/>
      <c r="B3" s="281"/>
      <c r="C3" s="281"/>
      <c r="D3" s="281"/>
      <c r="E3" s="282"/>
      <c r="H3" s="284"/>
      <c r="I3" s="284"/>
      <c r="J3" s="284"/>
      <c r="K3" s="284"/>
      <c r="L3" s="284"/>
      <c r="M3" s="284"/>
      <c r="N3" s="284"/>
      <c r="O3" s="28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182</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181</v>
      </c>
      <c r="B16" s="20"/>
      <c r="C16" s="20"/>
      <c r="D16" s="20"/>
      <c r="E16" s="283" t="s">
        <v>161</v>
      </c>
      <c r="F16" s="283"/>
      <c r="G16" s="283"/>
      <c r="H16" s="283"/>
      <c r="I16" s="283"/>
      <c r="J16" s="283"/>
      <c r="K16" s="62"/>
      <c r="L16" s="172"/>
      <c r="M16" s="283" t="s">
        <v>183</v>
      </c>
      <c r="N16" s="283"/>
      <c r="O16" s="283"/>
      <c r="P16" s="283"/>
      <c r="Q16" s="283"/>
      <c r="R16" s="283"/>
      <c r="S16" s="4"/>
      <c r="T16" s="172"/>
      <c r="U16" s="274" t="s">
        <v>162</v>
      </c>
      <c r="V16" s="275"/>
      <c r="W16" s="275"/>
      <c r="X16" s="275"/>
      <c r="Y16" s="275"/>
      <c r="Z16" s="276"/>
      <c r="AA16" s="4"/>
      <c r="AB16" s="4"/>
      <c r="AC16" s="4"/>
      <c r="AD16" s="4"/>
      <c r="AE16" s="285" t="s">
        <v>163</v>
      </c>
      <c r="AF16" s="286"/>
      <c r="AG16" s="286"/>
      <c r="AH16" s="286"/>
      <c r="AI16" s="286"/>
      <c r="AJ16" s="287"/>
      <c r="AK16" s="4"/>
      <c r="AL16" s="188"/>
      <c r="AM16" s="285" t="s">
        <v>164</v>
      </c>
      <c r="AN16" s="286"/>
      <c r="AO16" s="286"/>
      <c r="AP16" s="286"/>
      <c r="AQ16" s="286"/>
      <c r="AR16" s="287"/>
      <c r="AS16" s="4"/>
      <c r="AT16" s="188"/>
      <c r="AU16" s="285" t="s">
        <v>165</v>
      </c>
      <c r="AV16" s="286"/>
      <c r="AW16" s="286"/>
      <c r="AX16" s="286"/>
      <c r="AY16" s="286"/>
      <c r="AZ16" s="287"/>
      <c r="BA16" s="4"/>
    </row>
    <row r="17" spans="1:53" x14ac:dyDescent="0.2">
      <c r="B17" s="10" t="s">
        <v>33</v>
      </c>
      <c r="C17" s="10" t="s">
        <v>81</v>
      </c>
      <c r="D17" s="79" t="s">
        <v>34</v>
      </c>
      <c r="E17" s="23" t="s">
        <v>82</v>
      </c>
      <c r="F17" s="23" t="s">
        <v>83</v>
      </c>
      <c r="G17" s="23" t="s">
        <v>180</v>
      </c>
      <c r="H17" s="23" t="s">
        <v>177</v>
      </c>
      <c r="I17" s="23" t="s">
        <v>177</v>
      </c>
      <c r="J17" s="23" t="s">
        <v>177</v>
      </c>
      <c r="K17" s="25"/>
      <c r="L17" s="97"/>
      <c r="M17" s="23" t="s">
        <v>82</v>
      </c>
      <c r="N17" s="23" t="s">
        <v>83</v>
      </c>
      <c r="O17" s="23" t="s">
        <v>180</v>
      </c>
      <c r="P17" s="23" t="s">
        <v>177</v>
      </c>
      <c r="Q17" s="23" t="s">
        <v>177</v>
      </c>
      <c r="R17" s="23" t="s">
        <v>177</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44927</v>
      </c>
      <c r="B18" s="11" t="s">
        <v>173</v>
      </c>
      <c r="C18" s="11" t="s">
        <v>173</v>
      </c>
      <c r="D18" s="11" t="s">
        <v>174</v>
      </c>
      <c r="E18" s="11" t="s">
        <v>177</v>
      </c>
      <c r="F18" s="11" t="s">
        <v>177</v>
      </c>
      <c r="G18" s="11" t="s">
        <v>177</v>
      </c>
      <c r="H18" s="11"/>
      <c r="I18" s="11"/>
      <c r="J18" s="11"/>
      <c r="L18" s="97"/>
      <c r="M18" s="11">
        <v>140952.17000000001</v>
      </c>
      <c r="N18" s="11">
        <v>76141.52</v>
      </c>
      <c r="O18" s="11">
        <v>291680.84999999998</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83" t="str">
        <f>E16</f>
        <v>Number of Residential Customers in Arrears</v>
      </c>
      <c r="F32" s="283"/>
      <c r="G32" s="283"/>
      <c r="H32" s="283"/>
      <c r="I32" s="283"/>
      <c r="J32" s="283"/>
      <c r="K32" s="62"/>
      <c r="L32" s="172"/>
      <c r="M32" s="283" t="s">
        <v>183</v>
      </c>
      <c r="N32" s="283"/>
      <c r="O32" s="283"/>
      <c r="P32" s="283"/>
      <c r="Q32" s="283"/>
      <c r="R32" s="283"/>
      <c r="S32" s="4"/>
      <c r="T32" s="172"/>
      <c r="U32" s="274" t="str">
        <f>U16</f>
        <v>Average Amount of Residential Arrearage Dollars</v>
      </c>
      <c r="V32" s="275"/>
      <c r="W32" s="275"/>
      <c r="X32" s="275"/>
      <c r="Y32" s="275"/>
      <c r="Z32" s="276"/>
      <c r="AA32" s="4"/>
      <c r="AB32" s="4"/>
      <c r="AC32" s="4"/>
      <c r="AD32" s="4"/>
      <c r="AE32" s="285" t="s">
        <v>163</v>
      </c>
      <c r="AF32" s="286"/>
      <c r="AG32" s="286"/>
      <c r="AH32" s="286"/>
      <c r="AI32" s="286"/>
      <c r="AJ32" s="287"/>
      <c r="AK32" s="4"/>
      <c r="AL32" s="188"/>
      <c r="AM32" s="286" t="str">
        <f>AM16</f>
        <v>Non-Residential Arrearage Dollars</v>
      </c>
      <c r="AN32" s="286"/>
      <c r="AO32" s="286"/>
      <c r="AP32" s="286"/>
      <c r="AQ32" s="286"/>
      <c r="AR32" s="287"/>
      <c r="AS32" s="4"/>
      <c r="AT32" s="188"/>
      <c r="AU32" s="285" t="str">
        <f>AU16</f>
        <v>Average Amount of Non-Residential Arrearage Dollars</v>
      </c>
      <c r="AV32" s="286"/>
      <c r="AW32" s="286"/>
      <c r="AX32" s="286"/>
      <c r="AY32" s="286"/>
      <c r="AZ32" s="287"/>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180</v>
      </c>
      <c r="P33" s="23" t="s">
        <v>177</v>
      </c>
      <c r="Q33" s="23" t="s">
        <v>177</v>
      </c>
      <c r="R33" s="23" t="s">
        <v>177</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7">
        <v>44562</v>
      </c>
      <c r="B34" s="11" t="s">
        <v>173</v>
      </c>
      <c r="C34" s="11" t="s">
        <v>173</v>
      </c>
      <c r="D34" s="11" t="s">
        <v>174</v>
      </c>
      <c r="E34" s="11"/>
      <c r="F34" s="11"/>
      <c r="G34" s="11"/>
      <c r="H34" s="11"/>
      <c r="I34" s="11"/>
      <c r="J34" s="11"/>
      <c r="L34" s="97"/>
      <c r="M34" s="11">
        <v>109292.45</v>
      </c>
      <c r="N34" s="11">
        <v>101810.54</v>
      </c>
      <c r="O34" s="11">
        <v>401695.74</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83" t="str">
        <f>E16</f>
        <v>Number of Residential Customers in Arrears</v>
      </c>
      <c r="F48" s="283"/>
      <c r="G48" s="283"/>
      <c r="H48" s="283"/>
      <c r="I48" s="283"/>
      <c r="J48" s="283"/>
      <c r="K48" s="62"/>
      <c r="L48" s="172"/>
      <c r="M48" s="283" t="s">
        <v>183</v>
      </c>
      <c r="N48" s="283"/>
      <c r="O48" s="283"/>
      <c r="P48" s="283"/>
      <c r="Q48" s="283"/>
      <c r="R48" s="283"/>
      <c r="S48" s="4"/>
      <c r="T48" s="172"/>
      <c r="U48" s="274" t="str">
        <f>U16</f>
        <v>Average Amount of Residential Arrearage Dollars</v>
      </c>
      <c r="V48" s="275"/>
      <c r="W48" s="275"/>
      <c r="X48" s="275"/>
      <c r="Y48" s="275"/>
      <c r="Z48" s="276"/>
      <c r="AA48" s="4"/>
      <c r="AB48" s="4"/>
      <c r="AC48" s="4"/>
      <c r="AD48" s="4"/>
      <c r="AE48" s="285" t="s">
        <v>163</v>
      </c>
      <c r="AF48" s="286"/>
      <c r="AG48" s="286"/>
      <c r="AH48" s="286"/>
      <c r="AI48" s="286"/>
      <c r="AJ48" s="287"/>
      <c r="AK48" s="4"/>
      <c r="AL48" s="188"/>
      <c r="AM48" s="286" t="str">
        <f>AM32</f>
        <v>Non-Residential Arrearage Dollars</v>
      </c>
      <c r="AN48" s="286"/>
      <c r="AO48" s="286"/>
      <c r="AP48" s="286"/>
      <c r="AQ48" s="286"/>
      <c r="AR48" s="287"/>
      <c r="AS48" s="4"/>
      <c r="AT48" s="188"/>
      <c r="AU48" s="285" t="str">
        <f>AU32</f>
        <v>Average Amount of Non-Residential Arrearage Dollars</v>
      </c>
      <c r="AV48" s="286"/>
      <c r="AW48" s="286"/>
      <c r="AX48" s="286"/>
      <c r="AY48" s="286"/>
      <c r="AZ48" s="287"/>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180</v>
      </c>
      <c r="P49" s="23" t="s">
        <v>177</v>
      </c>
      <c r="Q49" s="23" t="s">
        <v>177</v>
      </c>
      <c r="R49" s="23" t="s">
        <v>177</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7">
        <v>43466</v>
      </c>
      <c r="B50" s="11" t="s">
        <v>173</v>
      </c>
      <c r="C50" s="11" t="s">
        <v>173</v>
      </c>
      <c r="D50" s="11" t="s">
        <v>174</v>
      </c>
      <c r="E50" s="11"/>
      <c r="F50" s="11"/>
      <c r="G50" s="11"/>
      <c r="H50" s="11"/>
      <c r="I50" s="11"/>
      <c r="J50" s="11"/>
      <c r="L50" s="97"/>
      <c r="M50" s="11">
        <v>55717.95</v>
      </c>
      <c r="N50" s="11">
        <v>49606.6</v>
      </c>
      <c r="O50" s="11">
        <v>97738.48</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8" t="s">
        <v>37</v>
      </c>
      <c r="B2" s="289"/>
      <c r="C2" s="289"/>
      <c r="D2" s="290"/>
      <c r="E2" s="121"/>
      <c r="F2" s="121"/>
      <c r="G2" s="121"/>
      <c r="H2" s="121"/>
      <c r="I2" s="97"/>
      <c r="J2" s="4"/>
      <c r="L2" s="291" t="s">
        <v>39</v>
      </c>
      <c r="M2" s="292"/>
      <c r="N2" s="293"/>
      <c r="O2" s="120"/>
      <c r="P2" s="120"/>
      <c r="Q2" s="120"/>
      <c r="R2" s="97"/>
      <c r="S2" s="97"/>
      <c r="T2" s="97"/>
      <c r="V2" s="291" t="s">
        <v>41</v>
      </c>
      <c r="W2" s="292"/>
      <c r="X2" s="292"/>
      <c r="Y2" s="293"/>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184</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181</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4" t="s">
        <v>64</v>
      </c>
      <c r="B2" s="295"/>
      <c r="C2" s="123"/>
      <c r="D2" s="123"/>
      <c r="I2" s="291" t="s">
        <v>98</v>
      </c>
      <c r="J2" s="292"/>
      <c r="K2" s="293"/>
      <c r="M2" s="294" t="s">
        <v>99</v>
      </c>
      <c r="N2" s="295"/>
      <c r="O2" s="122"/>
      <c r="P2" s="82"/>
      <c r="Q2" s="84"/>
      <c r="R2" s="122"/>
      <c r="S2" s="84"/>
      <c r="T2" s="84"/>
      <c r="V2" s="294" t="s">
        <v>76</v>
      </c>
      <c r="W2" s="295"/>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185</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1" t="s">
        <v>54</v>
      </c>
      <c r="B2" s="293"/>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186</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7" t="s">
        <v>72</v>
      </c>
      <c r="B2" s="298"/>
      <c r="C2" s="298"/>
      <c r="D2" s="298"/>
      <c r="E2" s="298"/>
      <c r="F2" s="298"/>
      <c r="G2" s="299"/>
    </row>
    <row r="3" spans="1:7" x14ac:dyDescent="0.2">
      <c r="A3" s="300"/>
      <c r="B3" s="301"/>
      <c r="C3" s="301"/>
      <c r="D3" s="301"/>
      <c r="E3" s="301"/>
      <c r="F3" s="301"/>
      <c r="G3" s="302"/>
    </row>
    <row r="4" spans="1:7" ht="32.25" customHeight="1" thickBot="1" x14ac:dyDescent="0.25">
      <c r="A4" s="303"/>
      <c r="B4" s="304"/>
      <c r="C4" s="304"/>
      <c r="D4" s="304"/>
      <c r="E4" s="304"/>
      <c r="F4" s="304"/>
      <c r="G4" s="305"/>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F15" sqref="F15"/>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2" t="s">
        <v>130</v>
      </c>
      <c r="B2" s="271"/>
      <c r="C2" s="271"/>
      <c r="D2" s="271"/>
      <c r="E2" s="271"/>
      <c r="F2" s="271"/>
      <c r="G2" s="271"/>
      <c r="H2" s="263"/>
      <c r="I2" s="31"/>
      <c r="J2" s="31"/>
      <c r="K2" s="31"/>
      <c r="L2" s="28"/>
      <c r="M2" s="28"/>
    </row>
    <row r="3" spans="1:13" ht="42.6" customHeight="1" thickBot="1" x14ac:dyDescent="0.25">
      <c r="A3" s="266"/>
      <c r="B3" s="273"/>
      <c r="C3" s="273"/>
      <c r="D3" s="273"/>
      <c r="E3" s="273"/>
      <c r="F3" s="273"/>
      <c r="G3" s="273"/>
      <c r="H3" s="267"/>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2024-04-25T23:03:12Z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