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458A6F56-52EC-47E0-B6D3-E9F5F929BC35}"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21" l="1"/>
  <c r="G21" i="16"/>
  <c r="AD78" i="20" l="1"/>
  <c r="AD45" i="20"/>
  <c r="AD88" i="20"/>
  <c r="AD56" i="20"/>
  <c r="O88" i="20"/>
  <c r="O56" i="20"/>
  <c r="K88" i="20"/>
  <c r="K56" i="20"/>
  <c r="J88" i="20"/>
  <c r="J56" i="20"/>
  <c r="H88" i="20"/>
  <c r="H56" i="20"/>
  <c r="G88" i="20"/>
  <c r="G56" i="20"/>
  <c r="O78" i="20"/>
  <c r="N78" i="20"/>
  <c r="O45" i="20"/>
  <c r="K78" i="20"/>
  <c r="J78" i="20"/>
  <c r="K45" i="20"/>
  <c r="J45" i="20"/>
  <c r="H78" i="20"/>
  <c r="H45" i="20"/>
  <c r="G78" i="20"/>
  <c r="F78" i="20"/>
  <c r="G45" i="20"/>
  <c r="AD68" i="20" l="1"/>
  <c r="AD34" i="20"/>
  <c r="O68" i="20" l="1"/>
  <c r="N68" i="20"/>
  <c r="K68" i="20"/>
  <c r="J68" i="20"/>
  <c r="G68" i="20"/>
  <c r="F68" i="20"/>
  <c r="O34" i="20"/>
  <c r="K34" i="20"/>
  <c r="J34" i="20"/>
  <c r="H68" i="20"/>
  <c r="H34" i="20"/>
  <c r="G34" i="20"/>
  <c r="AD88" i="16"/>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<sst xmlns="http://schemas.openxmlformats.org/spreadsheetml/2006/main" count="17429" uniqueCount="331">
  <si>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</si>
  <si>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</si>
  <si>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</si>
  <si>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</si>
  <si>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</si>
  <si>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</si>
  <si>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</si>
  <si>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</si>
  <si>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</si>
  <si>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</si>
  <si>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</si>
  <si>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</si>
  <si>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</si>
  <si>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</si>
  <si>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</si>
  <si>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</si>
  <si>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</si>
  <si>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</si>
  <si>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</si>
  <si>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</si>
  <si>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</si>
  <si>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</si>
  <si>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</si>
  <si>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</si>
  <si>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</si>
  <si>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</si>
  <si>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</si>
  <si>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</si>
  <si>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</si>
  <si>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</si>
  <si>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</si>
  <si>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</si>
  <si>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</si>
  <si>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</si>
  <si>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</si>
  <si>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</si>
  <si>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</si>
  <si>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</si>
  <si>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</si>
  <si>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</si>
  <si>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</si>
  <si>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</si>
  <si>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</si>
  <si>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</si>
  <si>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</si>
  <si>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</si>
  <si>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</si>
  <si>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</si>
  <si>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</si>
  <si>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</si>
  <si>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</si>
  <si>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</si>
  <si>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</si>
  <si>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</si>
  <si>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</si>
  <si>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</si>
  <si>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</si>
  <si>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</si>
  <si>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</si>
  <si>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</si>
  <si>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</si>
  <si>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</si>
  <si>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</si>
  <si>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</si>
  <si>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</si>
  <si>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</si>
  <si>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</si>
  <si>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</si>
  <si>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</si>
  <si>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</si>
  <si>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</si>
  <si>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</si>
  <si>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</si>
  <si>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</si>
  <si>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</si>
  <si>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</si>
  <si>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</si>
  <si>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</si>
  <si>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</si>
  <si>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</si>
  <si>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</si>
  <si>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</si>
  <si>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</si>
  <si>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</si>
  <si>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</si>
  <si>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</si>
  <si>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</si>
  <si>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</si>
  <si>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</si>
  <si>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</si>
  <si>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</si>
  <si>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</si>
  <si>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</si>
  <si>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</si>
  <si>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</si>
  <si>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</si>
  <si>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</si>
  <si>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</si>
  <si>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</si>
  <si>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</si>
  <si>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</si>
  <si>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</si>
  <si>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</si>
  <si>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</si>
  <si>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</si>
  <si>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</si>
  <si>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</si>
  <si>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</si>
  <si>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</si>
  <si>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</si>
  <si>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</si>
  <si>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</si>
  <si>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</si>
  <si>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</si>
  <si>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</si>
  <si>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</si>
  <si>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</si>
  <si>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</si>
  <si>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</si>
  <si>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</si>
  <si>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</si>
  <si>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</si>
  <si>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</si>
  <si>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</si>
  <si>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</si>
  <si>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</si>
  <si>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</si>
  <si>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</si>
  <si>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</si>
  <si>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</si>
  <si>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</si>
  <si>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</si>
  <si>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</si>
  <si>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</si>
  <si>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</si>
  <si>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</si>
  <si>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</si>
  <si>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</si>
  <si>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</si>
  <si>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</si>
  <si>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</si>
  <si>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</si>
  <si>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</si>
  <si>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</si>
  <si>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</si>
  <si>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</si>
  <si>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</si>
  <si>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</si>
  <si>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</si>
  <si>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</si>
  <si>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</si>
  <si>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</si>
  <si>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</si>
  <si>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</si>
  <si>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</si>
  <si>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</si>
  <si>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</si>
  <si>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</si>
  <si>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</si>
  <si>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</si>
  <si>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</si>
  <si>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</si>
  <si>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</si>
  <si>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</si>
  <si>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</si>
  <si>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</si>
  <si>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</si>
  <si>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</si>
  <si>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</si>
  <si>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</si>
  <si>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</si>
  <si>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</si>
  <si>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</si>
  <si>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</si>
  <si>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</si>
  <si>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</si>
  <si>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</si>
  <si>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</si>
  <si>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</si>
  <si>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</si>
  <si>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</si>
  <si>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</si>
  <si>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</si>
  <si>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</si>
  <si>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</si>
  <si>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</si>
  <si>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</si>
  <si>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</si>
  <si>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</si>
  <si>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</si>
  <si>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</si>
  <si>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</si>
  <si>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</si>
  <si>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</si>
  <si>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</si>
  <si>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</si>
  <si>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</si>
  <si>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</si>
  <si>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</si>
  <si>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</si>
  <si>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</si>
  <si>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</si>
  <si>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</si>
  <si>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</si>
  <si>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</si>
  <si>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</si>
  <si>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</si>
  <si>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</si>
  <si>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</si>
  <si>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</si>
  <si>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</si>
  <si>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</si>
  <si>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</si>
  <si>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</si>
  <si>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</si>
  <si>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</si>
  <si>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</si>
  <si>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</si>
  <si>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</si>
  <si>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</si>
  <si>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</si>
  <si>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</si>
  <si>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</si>
  <si>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</si>
  <si>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</si>
  <si>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</si>
  <si>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</si>
  <si>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</si>
  <si>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</si>
  <si>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</si>
  <si>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</si>
  <si>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</si>
  <si>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</si>
  <si>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</si>
  <si>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</si>
  <si>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</si>
  <si>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</si>
  <si>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</si>
  <si>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</si>
  <si>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</si>
  <si>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</si>
  <si>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</si>
  <si>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</si>
  <si>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</si>
  <si>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</si>
  <si>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</si>
  <si>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</si>
  <si>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</si>
  <si>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</si>
  <si>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</si>
  <si>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</si>
  <si>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</si>
  <si>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</si>
  <si>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</si>
  <si>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</si>
  <si>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</si>
  <si>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</si>
  <si>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</si>
  <si>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</si>
  <si>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</si>
  <si>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</si>
  <si>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</si>
  <si>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</si>
  <si>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</si>
  <si>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</si>
  <si>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</si>
  <si>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</si>
  <si>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</si>
  <si>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</si>
  <si>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</si>
  <si>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</si>
  <si>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</si>
  <si>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</si>
  <si>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</si>
  <si>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</si>
  <si>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</si>
  <si>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</si>
  <si>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</si>
  <si>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</si>
  <si>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</si>
  <si>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</si>
  <si>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</si>
  <si>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</si>
  <si>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</si>
  <si>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</si>
  <si>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</si>
  <si>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</si>
  <si>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</si>
  <si>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</si>
  <si>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</si>
  <si>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</si>
  <si>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</si>
  <si>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</si>
  <si>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</si>
  <si>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</si>
  <si>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</si>
  <si>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</si>
  <si>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</si>
  <si>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</si>
  <si>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</si>
  <si>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</si>
  <si>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</si>
  <si>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</si>
  <si>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</si>
  <si>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</si>
  <si>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</si>
  <si>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</si>
  <si>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</si>
  <si>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</si>
  <si>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</si>
  <si>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</si>
  <si>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</si>
  <si>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</si>
  <si>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</si>
  <si>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</si>
  <si>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</si>
  <si>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</si>
  <si>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</si>
  <si>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2.  Mar = Cycle 3 Period 4 which includes Dec, Jan and Feb quarterly usage.   Cycle 4 Period 1 which includes Dec, Jan, and Feb quarterly usage.</t>
  </si>
  <si>
    <t>Mar -2023 Residential Number of Customers that Applied</t>
  </si>
  <si>
    <t>Mar-2022 Residential Number of Customers that Applied</t>
  </si>
  <si>
    <t>Mar-2019 Residential Number of Customers that Applied</t>
  </si>
  <si>
    <t>Mar-2023 Number of Residential Customers that Receive Assistance for Arrears</t>
  </si>
  <si>
    <t>Mar-2022 Number of Residential Customers that Receive Assistance for Arrears</t>
  </si>
  <si>
    <t>Mar-2019 Number of Residential Customers that Receive Assistance for Arrears</t>
  </si>
  <si>
    <t xml:space="preserve">6.  Average monthly installment = Per customer - 7 months remaining. </t>
  </si>
  <si>
    <t>Average Monthly Installment Amount (Per Customer)</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</si>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</sst>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200">
        <v>44986</v>
      </c>
      <c r="B4" s="1"/>
      <c r="C4" s="1"/>
      <c r="D4" s="1"/>
      <c r="E4" s="1"/>
    </row>
    <row r="5" spans="1:5" x14ac:dyDescent="0.3">
      <c r="A5" s="226">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topLeftCell="Q1" workbookViewId="0">
      <selection activeCell="W157" sqref="W157"/>
    </sheetView>
  </sheetViews>
  <sheetFormatPr defaultRowHeight="14.4" x14ac:dyDescent="0.3"/>
  <cols>
    <col min="11" max="11" width="3.777343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2023</v>
      </c>
      <c r="B3" s="334"/>
      <c r="C3" s="334"/>
      <c r="D3" s="334"/>
      <c r="E3" s="334"/>
      <c r="F3" s="334"/>
      <c r="G3" s="334"/>
      <c r="H3" s="334"/>
      <c r="I3" s="334"/>
      <c r="J3" s="334"/>
      <c r="L3" s="334">
        <v>2022</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41" zoomScaleNormal="100" zoomScaleSheetLayoutView="85" zoomScalePageLayoutView="70" workbookViewId="0">
      <selection activeCell="AD79" sqref="AD7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4"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5"/>
      <c r="AD6" s="72"/>
      <c r="AE6" s="72"/>
      <c r="AF6" s="72"/>
      <c r="AG6" s="72"/>
      <c r="AH6" s="72"/>
      <c r="AM6" s="72"/>
    </row>
    <row r="7" spans="1:39" ht="15" customHeight="1" x14ac:dyDescent="0.25">
      <c r="A7" s="178" t="s">
        <v>218</v>
      </c>
      <c r="B7" s="50"/>
      <c r="C7" s="50"/>
      <c r="D7" s="50"/>
      <c r="E7" s="50"/>
      <c r="F7" s="50"/>
      <c r="G7" s="50"/>
      <c r="H7" s="50"/>
      <c r="I7" s="50"/>
      <c r="J7" s="50"/>
      <c r="K7" s="50"/>
      <c r="L7" s="50"/>
      <c r="M7" s="50"/>
      <c r="N7" s="184" t="s">
        <v>218</v>
      </c>
      <c r="O7" s="183"/>
      <c r="P7" s="61"/>
      <c r="Q7" s="185" t="s">
        <v>218</v>
      </c>
      <c r="R7" s="4"/>
      <c r="S7" s="4"/>
      <c r="T7" s="4"/>
      <c r="U7" s="4"/>
      <c r="V7" s="4"/>
      <c r="W7" s="4"/>
      <c r="X7" s="4"/>
      <c r="Z7" s="229" t="s">
        <v>218</v>
      </c>
      <c r="AA7" s="230"/>
      <c r="AB7" s="80"/>
      <c r="AC7" s="180" t="s">
        <v>218</v>
      </c>
      <c r="AD7" s="179"/>
      <c r="AE7" s="179"/>
      <c r="AF7" s="179"/>
      <c r="AG7" s="4"/>
    </row>
    <row r="8" spans="1:39" ht="15" customHeight="1" x14ac:dyDescent="0.25">
      <c r="A8" s="209"/>
      <c r="B8" s="50"/>
      <c r="C8" s="50"/>
      <c r="D8" s="50"/>
      <c r="E8" s="50"/>
      <c r="F8" s="50"/>
      <c r="G8" s="50"/>
      <c r="H8" s="50"/>
      <c r="I8" s="50"/>
      <c r="J8" s="50"/>
      <c r="K8" s="50"/>
      <c r="L8" s="50"/>
      <c r="M8" s="50"/>
      <c r="N8" s="210"/>
      <c r="O8" s="28"/>
      <c r="P8" s="61"/>
      <c r="Q8" s="210"/>
      <c r="R8" s="4"/>
      <c r="S8" s="4"/>
      <c r="T8" s="4"/>
      <c r="U8" s="4"/>
      <c r="V8" s="4"/>
      <c r="W8" s="4"/>
      <c r="X8" s="4"/>
      <c r="Z8" s="212"/>
      <c r="AA8" s="213"/>
      <c r="AB8" s="80"/>
      <c r="AC8" s="214"/>
      <c r="AD8" s="25"/>
      <c r="AE8" s="25"/>
      <c r="AF8" s="25"/>
      <c r="AG8" s="4"/>
    </row>
    <row r="9" spans="1:39" ht="15" customHeight="1" x14ac:dyDescent="0.25">
      <c r="A9" s="259" t="s">
        <v>219</v>
      </c>
      <c r="B9" s="259"/>
      <c r="C9" s="259"/>
      <c r="D9" s="259"/>
      <c r="E9" s="259"/>
      <c r="F9" s="259"/>
      <c r="G9" s="259"/>
      <c r="H9" s="259"/>
      <c r="I9" s="259"/>
      <c r="J9" s="259"/>
      <c r="K9" s="259"/>
      <c r="L9" s="259"/>
      <c r="M9" s="218"/>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1"/>
      <c r="R13" s="206"/>
      <c r="S13" s="206"/>
      <c r="T13" s="206"/>
      <c r="U13" s="206"/>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1"/>
      <c r="R14" s="206"/>
      <c r="S14" s="206"/>
      <c r="T14" s="206"/>
      <c r="U14" s="206"/>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1"/>
      <c r="R15" s="206"/>
      <c r="S15" s="206"/>
      <c r="T15" s="206"/>
      <c r="U15" s="206"/>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1"/>
      <c r="R16" s="206"/>
      <c r="S16" s="206"/>
      <c r="T16" s="206"/>
      <c r="U16" s="206"/>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1"/>
      <c r="R17" s="206"/>
      <c r="S17" s="206"/>
      <c r="T17" s="206"/>
      <c r="U17" s="206"/>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1"/>
      <c r="R18" s="206"/>
      <c r="S18" s="206"/>
      <c r="T18" s="206"/>
      <c r="U18" s="206"/>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1"/>
      <c r="R19" s="206"/>
      <c r="S19" s="206"/>
      <c r="T19" s="206"/>
      <c r="U19" s="206"/>
      <c r="V19" s="4"/>
      <c r="W19" s="4"/>
      <c r="X19" s="4"/>
      <c r="Z19" s="231"/>
      <c r="AA19" s="232"/>
      <c r="AB19" s="80"/>
      <c r="AC19" s="182"/>
      <c r="AD19" s="6"/>
      <c r="AE19" s="6"/>
      <c r="AF19" s="6"/>
      <c r="AG19" s="4"/>
    </row>
    <row r="20" spans="1:33" ht="15" customHeight="1" x14ac:dyDescent="0.25">
      <c r="A20" s="206"/>
      <c r="B20" s="215"/>
      <c r="C20" s="215"/>
      <c r="D20" s="215"/>
      <c r="E20" s="215"/>
      <c r="F20" s="50"/>
      <c r="G20" s="50"/>
      <c r="H20" s="50"/>
      <c r="I20" s="50"/>
      <c r="J20" s="50"/>
      <c r="K20" s="50"/>
      <c r="L20" s="50"/>
      <c r="M20" s="50"/>
      <c r="N20" s="231"/>
      <c r="O20" s="232"/>
      <c r="P20" s="61"/>
      <c r="Q20" s="211"/>
      <c r="R20" s="206"/>
      <c r="S20" s="206"/>
      <c r="T20" s="206"/>
      <c r="U20" s="206"/>
      <c r="V20" s="4"/>
      <c r="W20" s="4"/>
      <c r="X20" s="4"/>
      <c r="Z20" s="187"/>
      <c r="AA20" s="188"/>
      <c r="AB20" s="80"/>
      <c r="AC20" s="187"/>
      <c r="AD20" s="188"/>
      <c r="AE20" s="188"/>
      <c r="AF20" s="188"/>
      <c r="AG20" s="4"/>
    </row>
    <row r="21" spans="1:33" ht="14.4" customHeight="1" x14ac:dyDescent="0.25">
      <c r="A21" s="206"/>
      <c r="B21" s="215"/>
      <c r="C21" s="215"/>
      <c r="D21" s="215"/>
      <c r="E21" s="215"/>
      <c r="F21" s="50"/>
      <c r="G21" s="50"/>
      <c r="H21" s="50"/>
      <c r="I21" s="50"/>
      <c r="J21" s="50"/>
      <c r="K21" s="50"/>
      <c r="L21" s="50"/>
      <c r="M21" s="50"/>
      <c r="N21" s="231"/>
      <c r="O21" s="232"/>
      <c r="Q21" s="211"/>
      <c r="R21" s="206"/>
      <c r="S21" s="206"/>
      <c r="T21" s="206"/>
      <c r="U21" s="206"/>
      <c r="V21" s="4"/>
      <c r="W21" s="4"/>
      <c r="X21" s="4"/>
      <c r="Z21" s="257"/>
      <c r="AA21" s="258"/>
      <c r="AB21" s="80"/>
      <c r="AC21" s="181"/>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1"/>
      <c r="AD22" s="25"/>
      <c r="AE22" s="25"/>
      <c r="AF22" s="25"/>
      <c r="AG22" s="4"/>
    </row>
    <row r="23" spans="1:33" x14ac:dyDescent="0.25">
      <c r="A23" s="50"/>
      <c r="B23" s="138"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8"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8" t="s">
        <v>173</v>
      </c>
      <c r="AE24" s="4"/>
      <c r="AF24" s="4"/>
      <c r="AG24" s="4"/>
    </row>
    <row r="25" spans="1:33" x14ac:dyDescent="0.25">
      <c r="A25" s="50"/>
      <c r="B25" s="138"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8" t="s">
        <v>170</v>
      </c>
      <c r="AE25" s="4"/>
      <c r="AF25" s="4"/>
      <c r="AG25" s="4"/>
    </row>
    <row r="26" spans="1:33" x14ac:dyDescent="0.25">
      <c r="A26" s="50"/>
      <c r="B26" s="138"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8" t="s">
        <v>172</v>
      </c>
      <c r="AE27" s="4"/>
      <c r="AF27" s="4"/>
      <c r="AG27" s="4"/>
    </row>
    <row r="28" spans="1:33" x14ac:dyDescent="0.25">
      <c r="B28" s="50"/>
      <c r="C28" s="50"/>
      <c r="D28" s="50"/>
      <c r="E28" s="50"/>
      <c r="F28" s="50"/>
      <c r="G28" s="50"/>
      <c r="H28" s="50"/>
      <c r="I28" s="50"/>
      <c r="J28" s="50"/>
      <c r="K28" s="50"/>
      <c r="L28" s="118" t="s">
        <v>131</v>
      </c>
      <c r="M28" s="118" t="s">
        <v>131</v>
      </c>
      <c r="N28" s="88"/>
      <c r="O28" s="118"/>
      <c r="Q28" s="47"/>
      <c r="R28" s="4"/>
      <c r="S28" s="4"/>
      <c r="T28" s="4"/>
      <c r="U28" s="4"/>
      <c r="V28" s="4"/>
      <c r="W28" s="4"/>
      <c r="X28" s="118" t="s">
        <v>131</v>
      </c>
      <c r="Z28" s="47"/>
      <c r="AB28" s="118"/>
      <c r="AD28" s="138"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7" t="s">
        <v>194</v>
      </c>
      <c r="B31" s="4"/>
      <c r="C31" s="4"/>
      <c r="D31" s="4"/>
      <c r="E31" s="4"/>
      <c r="F31" s="4"/>
      <c r="G31" s="174" t="s">
        <v>160</v>
      </c>
      <c r="H31" s="4"/>
      <c r="I31" s="87" t="s">
        <v>160</v>
      </c>
      <c r="J31" s="4"/>
      <c r="K31" s="4"/>
      <c r="L31" s="4"/>
      <c r="M31" s="4"/>
      <c r="N31" s="82" t="s">
        <v>27</v>
      </c>
      <c r="O31" s="174" t="s">
        <v>160</v>
      </c>
      <c r="P31" s="85"/>
      <c r="Q31" s="86" t="s">
        <v>27</v>
      </c>
      <c r="R31" s="87" t="s">
        <v>160</v>
      </c>
      <c r="S31" s="86" t="s">
        <v>27</v>
      </c>
      <c r="T31" s="87" t="s">
        <v>160</v>
      </c>
      <c r="U31" s="86" t="s">
        <v>27</v>
      </c>
      <c r="V31" s="87" t="s">
        <v>160</v>
      </c>
      <c r="W31" s="86" t="s">
        <v>27</v>
      </c>
      <c r="X31" s="87" t="s">
        <v>160</v>
      </c>
      <c r="Y31" s="85"/>
      <c r="Z31" s="47"/>
      <c r="AA31" s="4"/>
      <c r="AC31" s="139"/>
      <c r="AD31" s="4"/>
      <c r="AE31" s="4"/>
      <c r="AF31" s="4"/>
      <c r="AG31" s="4"/>
    </row>
    <row r="32" spans="1:33" x14ac:dyDescent="0.25">
      <c r="A32" s="147"/>
      <c r="B32" s="4"/>
      <c r="C32" s="4"/>
      <c r="D32" s="4"/>
      <c r="E32" s="4"/>
      <c r="F32" s="175" t="s">
        <v>228</v>
      </c>
      <c r="G32" s="176" t="s">
        <v>229</v>
      </c>
      <c r="H32" s="4"/>
      <c r="I32" s="216" t="s">
        <v>272</v>
      </c>
      <c r="J32" s="177" t="s">
        <v>232</v>
      </c>
      <c r="K32" s="177" t="s">
        <v>233</v>
      </c>
      <c r="L32" s="193" t="s">
        <v>246</v>
      </c>
      <c r="M32" s="193" t="s">
        <v>247</v>
      </c>
      <c r="N32" s="177" t="s">
        <v>236</v>
      </c>
      <c r="O32" s="176" t="s">
        <v>237</v>
      </c>
      <c r="P32" s="85"/>
      <c r="Q32" s="86"/>
      <c r="R32" s="87"/>
      <c r="S32" s="86"/>
      <c r="T32" s="87"/>
      <c r="U32" s="86"/>
      <c r="V32" s="87"/>
      <c r="W32" s="86"/>
      <c r="X32" s="87"/>
      <c r="Y32" s="85"/>
      <c r="Z32" s="47"/>
      <c r="AA32" s="4"/>
      <c r="AC32" s="88"/>
      <c r="AD32" s="193" t="s">
        <v>266</v>
      </c>
      <c r="AE32" s="4"/>
      <c r="AF32" s="4"/>
      <c r="AG32" s="4"/>
    </row>
    <row r="33" spans="1:38" ht="52.8" x14ac:dyDescent="0.25">
      <c r="A33" s="164">
        <v>44986</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4" t="s">
        <v>140</v>
      </c>
      <c r="AE33" s="46" t="s">
        <v>141</v>
      </c>
      <c r="AF33" s="4"/>
      <c r="AG33" s="4"/>
    </row>
    <row r="34" spans="1:38" x14ac:dyDescent="0.25">
      <c r="A34" s="52"/>
      <c r="B34" s="11"/>
      <c r="C34" s="11" t="s">
        <v>195</v>
      </c>
      <c r="D34" s="11" t="s">
        <v>196</v>
      </c>
      <c r="E34" s="165" t="s">
        <v>216</v>
      </c>
      <c r="F34" s="169">
        <v>42350000</v>
      </c>
      <c r="G34" s="169">
        <f>72000+37265000</f>
        <v>37337000</v>
      </c>
      <c r="H34" s="169">
        <f>67864000*0.75</f>
        <v>50898000</v>
      </c>
      <c r="I34" s="169" t="s">
        <v>217</v>
      </c>
      <c r="J34" s="169">
        <f>162340.05+225+126612.69</f>
        <v>289177.74</v>
      </c>
      <c r="K34" s="169">
        <f>120+381.6+116146.95+197440.1</f>
        <v>314088.65000000002</v>
      </c>
      <c r="L34" s="169">
        <v>342331</v>
      </c>
      <c r="M34" s="169">
        <v>144051</v>
      </c>
      <c r="N34" s="169">
        <v>4178</v>
      </c>
      <c r="O34" s="171">
        <f>4+3884</f>
        <v>3888</v>
      </c>
      <c r="Q34" s="169">
        <f>+J34/N34</f>
        <v>69.214394447103871</v>
      </c>
      <c r="R34" s="169">
        <f>+K34/O34</f>
        <v>80.784117798353918</v>
      </c>
      <c r="S34" s="169">
        <v>99.5</v>
      </c>
      <c r="T34" s="169">
        <v>127.2</v>
      </c>
      <c r="U34" s="172">
        <f>+F34/N34</f>
        <v>10136.428913355672</v>
      </c>
      <c r="V34" s="172">
        <f>+G34/O34</f>
        <v>9603.1378600823045</v>
      </c>
      <c r="W34" s="169">
        <v>18000</v>
      </c>
      <c r="X34" s="169">
        <v>18000</v>
      </c>
      <c r="Z34" s="169">
        <v>720182.76</v>
      </c>
      <c r="AA34" s="169">
        <v>741577.56</v>
      </c>
      <c r="AC34" s="172">
        <f>SUM(J34:K34)</f>
        <v>603266.39</v>
      </c>
      <c r="AD34" s="172">
        <f>+Z34+159057</f>
        <v>879239.76</v>
      </c>
      <c r="AE34" s="172">
        <f>+AD34</f>
        <v>879239.76</v>
      </c>
      <c r="AF34" s="4"/>
      <c r="AG34" s="4"/>
    </row>
    <row r="35" spans="1:38" x14ac:dyDescent="0.25">
      <c r="A35" s="52"/>
      <c r="B35" s="11"/>
      <c r="C35" s="11"/>
      <c r="D35" s="11"/>
      <c r="E35" s="11"/>
      <c r="F35" s="169"/>
      <c r="G35" s="169"/>
      <c r="H35" s="169"/>
      <c r="I35" s="169"/>
      <c r="J35" s="169"/>
      <c r="K35" s="169"/>
      <c r="L35" s="169"/>
      <c r="M35" s="169"/>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9"/>
      <c r="G36" s="169"/>
      <c r="H36" s="169"/>
      <c r="I36" s="169"/>
      <c r="J36" s="169"/>
      <c r="K36" s="169"/>
      <c r="L36" s="169"/>
      <c r="M36" s="169"/>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9"/>
      <c r="G37" s="169"/>
      <c r="H37" s="169"/>
      <c r="I37" s="169"/>
      <c r="J37" s="169"/>
      <c r="K37" s="169"/>
      <c r="L37" s="169"/>
      <c r="M37" s="169"/>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9"/>
      <c r="G38" s="169"/>
      <c r="H38" s="169"/>
      <c r="I38" s="169"/>
      <c r="J38" s="169"/>
      <c r="K38" s="169"/>
      <c r="L38" s="169"/>
      <c r="M38" s="169"/>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9"/>
      <c r="G39" s="169"/>
      <c r="H39" s="169"/>
      <c r="I39" s="169"/>
      <c r="J39" s="169"/>
      <c r="K39" s="169"/>
      <c r="L39" s="169"/>
      <c r="M39" s="169"/>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9"/>
      <c r="G40" s="169"/>
      <c r="H40" s="169"/>
      <c r="I40" s="169"/>
      <c r="J40" s="169"/>
      <c r="K40" s="169"/>
      <c r="L40" s="169"/>
      <c r="M40" s="169"/>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70"/>
      <c r="G41" s="170"/>
      <c r="H41" s="170"/>
      <c r="I41" s="170"/>
      <c r="J41" s="170"/>
      <c r="K41" s="170"/>
      <c r="L41" s="170"/>
      <c r="M41" s="170"/>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7">
        <f>SUM(F34:F41)</f>
        <v>42350000</v>
      </c>
      <c r="G42" s="167">
        <f t="shared" ref="G42:O42" si="0">SUM(G34:G41)</f>
        <v>37337000</v>
      </c>
      <c r="H42" s="167">
        <f t="shared" si="0"/>
        <v>50898000</v>
      </c>
      <c r="I42" s="167">
        <f t="shared" si="0"/>
        <v>0</v>
      </c>
      <c r="J42" s="167">
        <f t="shared" si="0"/>
        <v>289177.74</v>
      </c>
      <c r="K42" s="167">
        <f t="shared" si="0"/>
        <v>314088.65000000002</v>
      </c>
      <c r="L42" s="167">
        <f t="shared" si="0"/>
        <v>342331</v>
      </c>
      <c r="M42" s="167">
        <f t="shared" si="0"/>
        <v>144051</v>
      </c>
      <c r="N42" s="167">
        <f t="shared" si="0"/>
        <v>4178</v>
      </c>
      <c r="O42" s="167">
        <f t="shared" si="0"/>
        <v>3888</v>
      </c>
      <c r="Q42" s="167">
        <f>SUM(Q34:Q41)/1</f>
        <v>69.214394447103871</v>
      </c>
      <c r="R42" s="167">
        <f>SUM(R34:R41)/1</f>
        <v>80.784117798353918</v>
      </c>
      <c r="S42" s="167">
        <f>SUM(S34:S41)/1</f>
        <v>99.5</v>
      </c>
      <c r="T42" s="167">
        <f t="shared" ref="T42" si="1">SUM(T34:T41)</f>
        <v>127.2</v>
      </c>
      <c r="U42" s="167">
        <f t="shared" ref="U42" si="2">SUM(U34:U41)</f>
        <v>10136.428913355672</v>
      </c>
      <c r="V42" s="167">
        <f t="shared" ref="V42" si="3">SUM(V34:V41)</f>
        <v>9603.1378600823045</v>
      </c>
      <c r="W42" s="167">
        <f t="shared" ref="W42" si="4">SUM(W34:W41)</f>
        <v>18000</v>
      </c>
      <c r="X42" s="167">
        <f t="shared" ref="X42" si="5">SUM(X34:X41)</f>
        <v>18000</v>
      </c>
      <c r="Z42" s="167">
        <f t="shared" ref="Z42:AE42" si="6">SUM(Z34:Z41)</f>
        <v>720182.76</v>
      </c>
      <c r="AA42" s="167">
        <f t="shared" si="6"/>
        <v>741577.56</v>
      </c>
      <c r="AC42" s="167">
        <f t="shared" si="6"/>
        <v>603266.39</v>
      </c>
      <c r="AD42" s="167">
        <f t="shared" si="6"/>
        <v>879239.76</v>
      </c>
      <c r="AE42" s="167">
        <f t="shared" si="6"/>
        <v>879239.76</v>
      </c>
      <c r="AF42" s="4"/>
      <c r="AG42" s="4"/>
    </row>
    <row r="43" spans="1:38" s="4" customFormat="1" x14ac:dyDescent="0.25">
      <c r="A43" s="52"/>
      <c r="F43" s="175" t="s">
        <v>228</v>
      </c>
      <c r="G43" s="176" t="s">
        <v>229</v>
      </c>
      <c r="I43" s="216" t="s">
        <v>272</v>
      </c>
      <c r="J43" s="177" t="s">
        <v>232</v>
      </c>
      <c r="K43" s="177" t="s">
        <v>233</v>
      </c>
      <c r="L43" s="193" t="s">
        <v>246</v>
      </c>
      <c r="M43" s="193" t="s">
        <v>247</v>
      </c>
      <c r="N43" s="177" t="s">
        <v>236</v>
      </c>
      <c r="O43" s="176" t="s">
        <v>237</v>
      </c>
      <c r="Q43" s="47"/>
      <c r="Z43" s="47"/>
      <c r="AC43" s="47"/>
      <c r="AD43" s="193" t="s">
        <v>266</v>
      </c>
      <c r="AI43" s="72"/>
      <c r="AJ43" s="72"/>
      <c r="AK43" s="72"/>
      <c r="AL43" s="72"/>
    </row>
    <row r="44" spans="1:38" ht="52.8" x14ac:dyDescent="0.25">
      <c r="A44" s="164">
        <v>44621</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5" t="s">
        <v>216</v>
      </c>
      <c r="F45" s="169">
        <v>42951000</v>
      </c>
      <c r="G45" s="169">
        <f>68000+37872000</f>
        <v>37940000</v>
      </c>
      <c r="H45" s="169">
        <f>68719000*0.75</f>
        <v>51539250</v>
      </c>
      <c r="I45" s="169" t="s">
        <v>217</v>
      </c>
      <c r="J45" s="169">
        <f>157479.87+225+123417.3</f>
        <v>281122.17</v>
      </c>
      <c r="K45" s="169">
        <f>120+360.4+115602.42+200772</f>
        <v>316854.82</v>
      </c>
      <c r="L45" s="169">
        <v>482533</v>
      </c>
      <c r="M45" s="169">
        <v>202037</v>
      </c>
      <c r="N45" s="169">
        <v>4172</v>
      </c>
      <c r="O45" s="171">
        <f>4+3878</f>
        <v>3882</v>
      </c>
      <c r="Q45" s="169">
        <f>+J45/N45</f>
        <v>67.383070469798653</v>
      </c>
      <c r="R45" s="169">
        <f>+K45/O45</f>
        <v>81.621540443070586</v>
      </c>
      <c r="S45" s="169">
        <v>96.2</v>
      </c>
      <c r="T45" s="169">
        <v>125.4</v>
      </c>
      <c r="U45" s="172">
        <f>+F45/N45</f>
        <v>10295.062320230105</v>
      </c>
      <c r="V45" s="172">
        <f>+G45/O45</f>
        <v>9773.3127253992789</v>
      </c>
      <c r="W45" s="169">
        <v>18000</v>
      </c>
      <c r="X45" s="169">
        <v>18000</v>
      </c>
      <c r="Z45" s="169">
        <v>597976.99</v>
      </c>
      <c r="AA45" s="169">
        <v>636394.05000000005</v>
      </c>
      <c r="AC45" s="172">
        <f>SUM(J45:K45)</f>
        <v>597976.99</v>
      </c>
      <c r="AD45" s="172">
        <f>+Z45+140019</f>
        <v>737995.99</v>
      </c>
      <c r="AE45" s="172">
        <f>+AD45</f>
        <v>737995.99</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7">
        <f>SUM(F45:F52)</f>
        <v>42951000</v>
      </c>
      <c r="G53" s="167">
        <f t="shared" ref="G53:N53" si="7">SUM(G45:G52)</f>
        <v>37940000</v>
      </c>
      <c r="H53" s="167">
        <f t="shared" si="7"/>
        <v>51539250</v>
      </c>
      <c r="I53" s="167">
        <f t="shared" si="7"/>
        <v>0</v>
      </c>
      <c r="J53" s="167">
        <f t="shared" si="7"/>
        <v>281122.17</v>
      </c>
      <c r="K53" s="167">
        <f t="shared" si="7"/>
        <v>316854.82</v>
      </c>
      <c r="L53" s="167">
        <f t="shared" si="7"/>
        <v>482533</v>
      </c>
      <c r="M53" s="167">
        <f t="shared" si="7"/>
        <v>202037</v>
      </c>
      <c r="N53" s="167">
        <f t="shared" si="7"/>
        <v>4172</v>
      </c>
      <c r="O53" s="167">
        <f t="shared" ref="O53" si="8">SUM(O45:O52)</f>
        <v>3882</v>
      </c>
      <c r="Q53" s="167">
        <f>SUM(Q45:Q52)/1</f>
        <v>67.383070469798653</v>
      </c>
      <c r="R53" s="167">
        <f>SUM(R45:R52)/1</f>
        <v>81.621540443070586</v>
      </c>
      <c r="S53" s="167">
        <f>SUM(S45:S52)/1</f>
        <v>96.2</v>
      </c>
      <c r="T53" s="167">
        <f t="shared" ref="T53" si="9">SUM(T45:T52)</f>
        <v>125.4</v>
      </c>
      <c r="U53" s="167">
        <f t="shared" ref="U53" si="10">SUM(U45:U52)</f>
        <v>10295.062320230105</v>
      </c>
      <c r="V53" s="167">
        <f t="shared" ref="V53" si="11">SUM(V45:V52)</f>
        <v>9773.3127253992789</v>
      </c>
      <c r="W53" s="167">
        <f t="shared" ref="W53" si="12">SUM(W45:W52)</f>
        <v>18000</v>
      </c>
      <c r="X53" s="167">
        <f t="shared" ref="X53" si="13">SUM(X45:X52)</f>
        <v>18000</v>
      </c>
      <c r="Z53" s="167">
        <f t="shared" ref="Z53" si="14">SUM(Z45:Z52)</f>
        <v>597976.99</v>
      </c>
      <c r="AA53" s="167">
        <f t="shared" ref="AA53" si="15">SUM(AA45:AA52)</f>
        <v>636394.05000000005</v>
      </c>
      <c r="AC53" s="167">
        <f t="shared" ref="AC53" si="16">SUM(AC45:AC52)</f>
        <v>597976.99</v>
      </c>
      <c r="AD53" s="167">
        <f t="shared" ref="AD53" si="17">SUM(AD45:AD52)</f>
        <v>737995.99</v>
      </c>
      <c r="AE53" s="167">
        <f t="shared" ref="AE53" si="18">SUM(AE45:AE52)</f>
        <v>737995.99</v>
      </c>
      <c r="AF53" s="4"/>
      <c r="AG53" s="4"/>
    </row>
    <row r="54" spans="1:38" s="4" customFormat="1" x14ac:dyDescent="0.25">
      <c r="A54" s="52"/>
      <c r="F54" s="175" t="s">
        <v>228</v>
      </c>
      <c r="G54" s="176" t="s">
        <v>229</v>
      </c>
      <c r="I54" s="216" t="s">
        <v>272</v>
      </c>
      <c r="J54" s="177" t="s">
        <v>232</v>
      </c>
      <c r="K54" s="177" t="s">
        <v>233</v>
      </c>
      <c r="L54" s="193" t="s">
        <v>246</v>
      </c>
      <c r="M54" s="193" t="s">
        <v>247</v>
      </c>
      <c r="N54" s="177" t="s">
        <v>236</v>
      </c>
      <c r="O54" s="176" t="s">
        <v>237</v>
      </c>
      <c r="Q54" s="47"/>
      <c r="Z54" s="47"/>
      <c r="AC54" s="47"/>
      <c r="AD54" s="193" t="s">
        <v>266</v>
      </c>
      <c r="AI54" s="72"/>
      <c r="AJ54" s="72"/>
      <c r="AK54" s="72"/>
      <c r="AL54" s="72"/>
    </row>
    <row r="55" spans="1:38" ht="52.8" x14ac:dyDescent="0.25">
      <c r="A55" s="164">
        <v>43525</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5" t="s">
        <v>216</v>
      </c>
      <c r="F56" s="169">
        <v>41083000</v>
      </c>
      <c r="G56" s="169">
        <f>76000+36177000</f>
        <v>36253000</v>
      </c>
      <c r="H56" s="169">
        <f>611600000*0.75</f>
        <v>458700000</v>
      </c>
      <c r="I56" s="11"/>
      <c r="J56" s="169">
        <f>135220.34+150+104129.99</f>
        <v>239500.33000000002</v>
      </c>
      <c r="K56" s="169">
        <f>112+387.6+106821.22+184512.9</f>
        <v>291833.71999999997</v>
      </c>
      <c r="L56" s="169">
        <v>469744</v>
      </c>
      <c r="M56" s="169">
        <v>203103</v>
      </c>
      <c r="N56" s="11">
        <v>4120</v>
      </c>
      <c r="O56" s="67">
        <f>4+3834</f>
        <v>3838</v>
      </c>
      <c r="Q56" s="169">
        <f>+J56/N56</f>
        <v>58.131148058252428</v>
      </c>
      <c r="R56" s="169">
        <f>+K56/O56</f>
        <v>76.037967691505983</v>
      </c>
      <c r="S56" s="169">
        <v>82.5</v>
      </c>
      <c r="T56" s="169">
        <v>118.4</v>
      </c>
      <c r="U56" s="172">
        <f>+F56/N56</f>
        <v>9971.6019417475727</v>
      </c>
      <c r="V56" s="172">
        <f>+G56/O56</f>
        <v>9445.8051068264722</v>
      </c>
      <c r="W56" s="169">
        <v>17000</v>
      </c>
      <c r="X56" s="169">
        <v>17000</v>
      </c>
      <c r="Z56" s="169">
        <v>531334.05000000005</v>
      </c>
      <c r="AA56" s="169">
        <v>598152.69999999995</v>
      </c>
      <c r="AC56" s="172">
        <f>SUM(J56:K56)</f>
        <v>531334.05000000005</v>
      </c>
      <c r="AD56" s="172">
        <f>+Z56+261459</f>
        <v>792793.05</v>
      </c>
      <c r="AE56" s="172">
        <f>+AD56</f>
        <v>792793.05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7">
        <f>SUM(F56:F63)</f>
        <v>41083000</v>
      </c>
      <c r="G64" s="167">
        <f t="shared" ref="G64:O64" si="19">SUM(G56:G63)</f>
        <v>36253000</v>
      </c>
      <c r="H64" s="167">
        <f t="shared" si="19"/>
        <v>458700000</v>
      </c>
      <c r="I64" s="167">
        <f t="shared" si="19"/>
        <v>0</v>
      </c>
      <c r="J64" s="167">
        <f t="shared" si="19"/>
        <v>239500.33000000002</v>
      </c>
      <c r="K64" s="167">
        <f t="shared" si="19"/>
        <v>291833.71999999997</v>
      </c>
      <c r="L64" s="167">
        <f t="shared" si="19"/>
        <v>469744</v>
      </c>
      <c r="M64" s="167">
        <f t="shared" si="19"/>
        <v>203103</v>
      </c>
      <c r="N64" s="167">
        <f t="shared" si="19"/>
        <v>4120</v>
      </c>
      <c r="O64" s="167">
        <f t="shared" si="19"/>
        <v>3838</v>
      </c>
      <c r="Q64" s="167">
        <f>SUM(Q56:Q63)/1</f>
        <v>58.131148058252428</v>
      </c>
      <c r="R64" s="167">
        <f>SUM(R56:R63)/1</f>
        <v>76.037967691505983</v>
      </c>
      <c r="S64" s="167">
        <f t="shared" ref="S64:X64" si="20">SUM(S56:S63)</f>
        <v>82.5</v>
      </c>
      <c r="T64" s="167">
        <f t="shared" si="20"/>
        <v>118.4</v>
      </c>
      <c r="U64" s="167">
        <f t="shared" si="20"/>
        <v>9971.6019417475727</v>
      </c>
      <c r="V64" s="167">
        <f t="shared" si="20"/>
        <v>9445.8051068264722</v>
      </c>
      <c r="W64" s="167">
        <f t="shared" si="20"/>
        <v>17000</v>
      </c>
      <c r="X64" s="167">
        <f t="shared" si="20"/>
        <v>17000</v>
      </c>
      <c r="Z64" s="167">
        <f t="shared" ref="Z64:AA64" si="21">SUM(Z56:Z63)</f>
        <v>531334.05000000005</v>
      </c>
      <c r="AA64" s="167">
        <f t="shared" si="21"/>
        <v>598152.69999999995</v>
      </c>
      <c r="AC64" s="167">
        <f t="shared" ref="AC64:AE64" si="22">SUM(AC56:AC63)</f>
        <v>531334.05000000005</v>
      </c>
      <c r="AD64" s="167">
        <f t="shared" si="22"/>
        <v>792793.05</v>
      </c>
      <c r="AE64" s="167">
        <f t="shared" si="22"/>
        <v>792793.05</v>
      </c>
      <c r="AF64" s="4"/>
      <c r="AG64" s="4"/>
    </row>
    <row r="65" spans="1:38" s="4" customFormat="1" x14ac:dyDescent="0.25">
      <c r="A65" s="52"/>
      <c r="N65" s="47"/>
      <c r="Q65" s="47"/>
      <c r="Z65" s="47"/>
      <c r="AC65" s="47"/>
      <c r="AI65" s="72"/>
      <c r="AJ65" s="72"/>
      <c r="AK65" s="72"/>
      <c r="AL65" s="72"/>
    </row>
    <row r="66" spans="1:38" s="4" customFormat="1" x14ac:dyDescent="0.25">
      <c r="A66" s="52"/>
      <c r="F66" s="177" t="s">
        <v>230</v>
      </c>
      <c r="G66" s="177" t="s">
        <v>231</v>
      </c>
      <c r="I66" s="216" t="s">
        <v>272</v>
      </c>
      <c r="J66" s="177" t="s">
        <v>234</v>
      </c>
      <c r="K66" s="177" t="s">
        <v>235</v>
      </c>
      <c r="L66" s="177" t="s">
        <v>256</v>
      </c>
      <c r="M66" s="177" t="s">
        <v>257</v>
      </c>
      <c r="N66" s="177" t="s">
        <v>238</v>
      </c>
      <c r="O66" s="176" t="s">
        <v>239</v>
      </c>
      <c r="Q66" s="47"/>
      <c r="Z66" s="47"/>
      <c r="AC66" s="47"/>
      <c r="AD66" s="193" t="s">
        <v>267</v>
      </c>
      <c r="AI66" s="72"/>
      <c r="AJ66" s="72"/>
      <c r="AK66" s="72"/>
      <c r="AL66" s="72"/>
    </row>
    <row r="67" spans="1:38" ht="52.8" x14ac:dyDescent="0.25">
      <c r="A67" s="164">
        <v>44986</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5" t="s">
        <v>216</v>
      </c>
      <c r="F68" s="169">
        <f>371000+5071000</f>
        <v>5442000</v>
      </c>
      <c r="G68" s="169">
        <f>371000+2531000</f>
        <v>2902000</v>
      </c>
      <c r="H68" s="169">
        <f>67864000*0.25</f>
        <v>16966000</v>
      </c>
      <c r="I68" s="169" t="s">
        <v>217</v>
      </c>
      <c r="J68" s="169">
        <f>1091.44+1785.84+273+300+148+14454+907+1759.6+3784+6740+32311.9</f>
        <v>63554.78</v>
      </c>
      <c r="K68" s="173">
        <f>90+1110+2112.5+21180+17557</f>
        <v>42049.5</v>
      </c>
      <c r="L68" s="169">
        <v>114110</v>
      </c>
      <c r="M68" s="169">
        <v>48017</v>
      </c>
      <c r="N68" s="169">
        <f>28+46+2</f>
        <v>76</v>
      </c>
      <c r="O68" s="67">
        <f>12+1</f>
        <v>13</v>
      </c>
      <c r="Q68" s="169">
        <f>+J68/N68</f>
        <v>836.24710526315789</v>
      </c>
      <c r="R68" s="169">
        <f>+K68/O68</f>
        <v>3234.5769230769229</v>
      </c>
      <c r="S68" s="169">
        <v>99.5</v>
      </c>
      <c r="T68" s="169">
        <v>127.2</v>
      </c>
      <c r="U68" s="172">
        <f>+F68/N68</f>
        <v>71605.263157894733</v>
      </c>
      <c r="V68" s="172">
        <f>+G68/O68</f>
        <v>223230.76923076922</v>
      </c>
      <c r="W68" s="169">
        <v>18000</v>
      </c>
      <c r="X68" s="169">
        <v>18000</v>
      </c>
      <c r="Z68" s="169">
        <v>112355.6</v>
      </c>
      <c r="AA68" s="169">
        <v>123681.78</v>
      </c>
      <c r="AC68" s="172">
        <f>SUM(J68:K68)</f>
        <v>105604.28</v>
      </c>
      <c r="AD68" s="172">
        <f>+Z68+53019</f>
        <v>165374.6</v>
      </c>
      <c r="AE68" s="172">
        <f>+AD68</f>
        <v>165374.6</v>
      </c>
      <c r="AF68" s="4"/>
      <c r="AG68" s="4"/>
    </row>
    <row r="69" spans="1:38" x14ac:dyDescent="0.25">
      <c r="A69" s="52"/>
      <c r="B69" s="11"/>
      <c r="C69" s="11"/>
      <c r="D69" s="11"/>
      <c r="E69" s="11"/>
      <c r="F69" s="169"/>
      <c r="G69" s="169"/>
      <c r="H69" s="169"/>
      <c r="I69" s="169"/>
      <c r="J69" s="169"/>
      <c r="K69" s="169"/>
      <c r="L69" s="169"/>
      <c r="M69" s="169"/>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9"/>
      <c r="G70" s="169"/>
      <c r="H70" s="169"/>
      <c r="I70" s="169"/>
      <c r="J70" s="169"/>
      <c r="K70" s="169"/>
      <c r="L70" s="169"/>
      <c r="M70" s="169"/>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9"/>
      <c r="G71" s="169"/>
      <c r="H71" s="169"/>
      <c r="I71" s="169"/>
      <c r="J71" s="169"/>
      <c r="K71" s="169"/>
      <c r="L71" s="169"/>
      <c r="M71" s="169"/>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9"/>
      <c r="G72" s="169"/>
      <c r="H72" s="169"/>
      <c r="I72" s="169"/>
      <c r="J72" s="169"/>
      <c r="K72" s="169"/>
      <c r="L72" s="169"/>
      <c r="M72" s="169"/>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9"/>
      <c r="G73" s="169"/>
      <c r="H73" s="169"/>
      <c r="I73" s="169"/>
      <c r="J73" s="169"/>
      <c r="K73" s="169"/>
      <c r="L73" s="169"/>
      <c r="M73" s="169"/>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9"/>
      <c r="G74" s="169"/>
      <c r="H74" s="169"/>
      <c r="I74" s="169"/>
      <c r="J74" s="169"/>
      <c r="K74" s="169"/>
      <c r="L74" s="169"/>
      <c r="M74" s="169"/>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7">
        <f>SUM(F68:F74)</f>
        <v>5442000</v>
      </c>
      <c r="G75" s="167">
        <f t="shared" ref="G75:M75" si="23">SUM(G68:G74)</f>
        <v>2902000</v>
      </c>
      <c r="H75" s="167">
        <f t="shared" si="23"/>
        <v>16966000</v>
      </c>
      <c r="I75" s="167">
        <f t="shared" si="23"/>
        <v>0</v>
      </c>
      <c r="J75" s="167">
        <f t="shared" si="23"/>
        <v>63554.78</v>
      </c>
      <c r="K75" s="167">
        <f t="shared" si="23"/>
        <v>42049.5</v>
      </c>
      <c r="L75" s="167">
        <f t="shared" si="23"/>
        <v>114110</v>
      </c>
      <c r="M75" s="167">
        <f t="shared" si="23"/>
        <v>48017</v>
      </c>
      <c r="N75" s="167">
        <f t="shared" ref="N75:O75" si="24">SUM(N68:N74)</f>
        <v>76</v>
      </c>
      <c r="O75" s="167">
        <f t="shared" si="24"/>
        <v>13</v>
      </c>
      <c r="Q75" s="167">
        <f>SUM(Q68:Q74)/1</f>
        <v>836.24710526315789</v>
      </c>
      <c r="R75" s="167">
        <f>SUM(R68:R74)/1</f>
        <v>3234.5769230769229</v>
      </c>
      <c r="S75" s="167">
        <f t="shared" ref="S75:X75" si="25">SUM(S68:S74)</f>
        <v>99.5</v>
      </c>
      <c r="T75" s="167">
        <f t="shared" si="25"/>
        <v>127.2</v>
      </c>
      <c r="U75" s="167">
        <f t="shared" si="25"/>
        <v>71605.263157894733</v>
      </c>
      <c r="V75" s="167">
        <f t="shared" si="25"/>
        <v>223230.76923076922</v>
      </c>
      <c r="W75" s="167">
        <f t="shared" si="25"/>
        <v>18000</v>
      </c>
      <c r="X75" s="167">
        <f t="shared" si="25"/>
        <v>18000</v>
      </c>
      <c r="Z75" s="167">
        <f t="shared" ref="Z75:AA75" si="26">SUM(Z68:Z74)</f>
        <v>112355.6</v>
      </c>
      <c r="AA75" s="167">
        <f t="shared" si="26"/>
        <v>123681.78</v>
      </c>
      <c r="AC75" s="167">
        <f t="shared" ref="AC75:AE75" si="27">SUM(AC68:AC74)</f>
        <v>105604.28</v>
      </c>
      <c r="AD75" s="167">
        <f t="shared" si="27"/>
        <v>165374.6</v>
      </c>
      <c r="AE75" s="167">
        <f t="shared" si="27"/>
        <v>165374.6</v>
      </c>
      <c r="AF75" s="4"/>
      <c r="AG75" s="4"/>
    </row>
    <row r="76" spans="1:38" s="4" customFormat="1" x14ac:dyDescent="0.25">
      <c r="A76" s="52"/>
      <c r="F76" s="177" t="s">
        <v>230</v>
      </c>
      <c r="G76" s="177" t="s">
        <v>231</v>
      </c>
      <c r="I76" s="216" t="s">
        <v>272</v>
      </c>
      <c r="J76" s="177" t="s">
        <v>234</v>
      </c>
      <c r="K76" s="177" t="s">
        <v>235</v>
      </c>
      <c r="L76" s="177" t="s">
        <v>256</v>
      </c>
      <c r="M76" s="177" t="s">
        <v>257</v>
      </c>
      <c r="N76" s="177" t="s">
        <v>238</v>
      </c>
      <c r="O76" s="176" t="s">
        <v>239</v>
      </c>
      <c r="Q76" s="47"/>
      <c r="Z76" s="47"/>
      <c r="AC76" s="55"/>
      <c r="AD76" s="193" t="s">
        <v>267</v>
      </c>
      <c r="AE76" s="5"/>
      <c r="AI76" s="72"/>
      <c r="AJ76" s="72"/>
      <c r="AK76" s="72"/>
      <c r="AL76" s="72"/>
    </row>
    <row r="77" spans="1:38" ht="52.8" x14ac:dyDescent="0.25">
      <c r="A77" s="164">
        <v>44621</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5" t="s">
        <v>216</v>
      </c>
      <c r="F78" s="169">
        <f>207000+5808000</f>
        <v>6015000</v>
      </c>
      <c r="G78" s="169">
        <f>207000+3273000</f>
        <v>3480000</v>
      </c>
      <c r="H78" s="169">
        <f>68719000*0.25</f>
        <v>17179750</v>
      </c>
      <c r="I78" s="11"/>
      <c r="J78" s="169">
        <f>1063.44+4694.2+266+287.77+148+14454+907+832.433784+6740+35874.1</f>
        <v>65266.943784000003</v>
      </c>
      <c r="K78" s="173">
        <f>75.33+1110+1097.1+21180+22741</f>
        <v>46203.43</v>
      </c>
      <c r="L78" s="169">
        <v>160844</v>
      </c>
      <c r="M78" s="169">
        <v>67346</v>
      </c>
      <c r="N78" s="169">
        <f>28+46+2</f>
        <v>76</v>
      </c>
      <c r="O78" s="67">
        <f>12+1</f>
        <v>13</v>
      </c>
      <c r="Q78" s="169">
        <f>+J78/N78</f>
        <v>858.77557610526321</v>
      </c>
      <c r="R78" s="169">
        <f>+K78/O78</f>
        <v>3554.11</v>
      </c>
      <c r="S78" s="169">
        <v>96.2</v>
      </c>
      <c r="T78" s="169">
        <v>125.4</v>
      </c>
      <c r="U78" s="172">
        <f>+F78/N78</f>
        <v>79144.736842105267</v>
      </c>
      <c r="V78" s="172">
        <f>+G78/O78</f>
        <v>267692.30769230769</v>
      </c>
      <c r="W78" s="169">
        <v>18000</v>
      </c>
      <c r="X78" s="169">
        <v>18000</v>
      </c>
      <c r="Z78" s="169">
        <v>122005.69</v>
      </c>
      <c r="AA78" s="169">
        <v>88096.09</v>
      </c>
      <c r="AC78" s="172">
        <f>SUM(J78:K78)</f>
        <v>111470.373784</v>
      </c>
      <c r="AD78" s="172">
        <f>+Z78+46673</f>
        <v>168678.69</v>
      </c>
      <c r="AE78" s="172">
        <f>+AD78</f>
        <v>168678.69</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7">
        <f>SUM(F78:F84)</f>
        <v>6015000</v>
      </c>
      <c r="G85" s="167">
        <f t="shared" ref="G85:M85" si="28">SUM(G78:G84)</f>
        <v>3480000</v>
      </c>
      <c r="H85" s="167">
        <f t="shared" si="28"/>
        <v>17179750</v>
      </c>
      <c r="I85" s="167">
        <f t="shared" si="28"/>
        <v>0</v>
      </c>
      <c r="J85" s="167">
        <f t="shared" si="28"/>
        <v>65266.943784000003</v>
      </c>
      <c r="K85" s="167">
        <f t="shared" si="28"/>
        <v>46203.43</v>
      </c>
      <c r="L85" s="167">
        <f t="shared" si="28"/>
        <v>160844</v>
      </c>
      <c r="M85" s="167">
        <f t="shared" si="28"/>
        <v>67346</v>
      </c>
      <c r="N85" s="167">
        <f t="shared" ref="N85:O85" si="29">SUM(N78:N84)</f>
        <v>76</v>
      </c>
      <c r="O85" s="167">
        <f t="shared" si="29"/>
        <v>13</v>
      </c>
      <c r="Q85" s="167">
        <f>SUM(Q78:Q84)/1</f>
        <v>858.77557610526321</v>
      </c>
      <c r="R85" s="167">
        <f>SUM(R78:R84)/1</f>
        <v>3554.11</v>
      </c>
      <c r="S85" s="167">
        <f t="shared" ref="S85:T85" si="30">SUM(S78:S84)/1</f>
        <v>96.2</v>
      </c>
      <c r="T85" s="167">
        <f t="shared" si="30"/>
        <v>125.4</v>
      </c>
      <c r="U85" s="167">
        <f t="shared" ref="U85:X85" si="31">SUM(U78:U84)</f>
        <v>79144.736842105267</v>
      </c>
      <c r="V85" s="167">
        <f t="shared" si="31"/>
        <v>267692.30769230769</v>
      </c>
      <c r="W85" s="167">
        <f t="shared" si="31"/>
        <v>18000</v>
      </c>
      <c r="X85" s="167">
        <f t="shared" si="31"/>
        <v>18000</v>
      </c>
      <c r="Z85" s="167">
        <f t="shared" ref="Z85:AA85" si="32">SUM(Z78:Z84)</f>
        <v>122005.69</v>
      </c>
      <c r="AA85" s="167">
        <f t="shared" si="32"/>
        <v>88096.09</v>
      </c>
      <c r="AC85" s="167">
        <f t="shared" ref="AC85:AE85" si="33">SUM(AC78:AC84)</f>
        <v>111470.373784</v>
      </c>
      <c r="AD85" s="167">
        <f t="shared" si="33"/>
        <v>168678.69</v>
      </c>
      <c r="AE85" s="167">
        <f t="shared" si="33"/>
        <v>168678.69</v>
      </c>
      <c r="AF85" s="4"/>
      <c r="AG85" s="4"/>
    </row>
    <row r="86" spans="1:38" s="4" customFormat="1" x14ac:dyDescent="0.25">
      <c r="A86" s="52"/>
      <c r="F86" s="177" t="s">
        <v>230</v>
      </c>
      <c r="G86" s="177" t="s">
        <v>231</v>
      </c>
      <c r="I86" s="216" t="s">
        <v>272</v>
      </c>
      <c r="J86" s="177" t="s">
        <v>234</v>
      </c>
      <c r="K86" s="177" t="s">
        <v>235</v>
      </c>
      <c r="L86" s="177" t="s">
        <v>256</v>
      </c>
      <c r="M86" s="177" t="s">
        <v>257</v>
      </c>
      <c r="N86" s="177" t="s">
        <v>238</v>
      </c>
      <c r="O86" s="176" t="s">
        <v>239</v>
      </c>
      <c r="Q86" s="47"/>
      <c r="Z86" s="47"/>
      <c r="AC86" s="55"/>
      <c r="AD86" s="193" t="s">
        <v>267</v>
      </c>
      <c r="AE86" s="5"/>
      <c r="AI86" s="72"/>
      <c r="AJ86" s="72"/>
      <c r="AK86" s="72"/>
      <c r="AL86" s="72"/>
    </row>
    <row r="87" spans="1:38" ht="52.8" x14ac:dyDescent="0.25">
      <c r="A87" s="164">
        <v>43525</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5" t="s">
        <v>216</v>
      </c>
      <c r="F88" s="169">
        <v>382000</v>
      </c>
      <c r="G88" s="169">
        <f>382000+5018000</f>
        <v>5400000</v>
      </c>
      <c r="H88" s="169">
        <f>611600000*0.25</f>
        <v>152900000</v>
      </c>
      <c r="I88" s="11"/>
      <c r="J88" s="169">
        <f>923.72+1575.28+231+300+148+14454+907+1622.55</f>
        <v>20161.55</v>
      </c>
      <c r="K88" s="169">
        <f>84+1036+2056.5+56126</f>
        <v>59302.5</v>
      </c>
      <c r="L88" s="169">
        <v>156581</v>
      </c>
      <c r="M88" s="169">
        <v>67701</v>
      </c>
      <c r="N88" s="11">
        <v>46</v>
      </c>
      <c r="O88" s="67">
        <f>12+1</f>
        <v>13</v>
      </c>
      <c r="Q88" s="169">
        <f>+J88/N88</f>
        <v>438.29456521739127</v>
      </c>
      <c r="R88" s="169">
        <f>+K88/O88</f>
        <v>4561.7307692307695</v>
      </c>
      <c r="S88" s="169">
        <v>82.5</v>
      </c>
      <c r="T88" s="169">
        <v>118.4</v>
      </c>
      <c r="U88" s="172">
        <f>+F88/N88</f>
        <v>8304.347826086956</v>
      </c>
      <c r="V88" s="172">
        <f>+G88/O88</f>
        <v>415384.61538461538</v>
      </c>
      <c r="W88" s="169">
        <v>17000</v>
      </c>
      <c r="X88" s="169">
        <v>17000</v>
      </c>
      <c r="Z88" s="169">
        <v>80542.880000000005</v>
      </c>
      <c r="AA88" s="169">
        <v>192669.6</v>
      </c>
      <c r="AC88" s="172">
        <f>SUM(J88:K88)</f>
        <v>79464.05</v>
      </c>
      <c r="AD88" s="172">
        <f>+Z88+87153</f>
        <v>167695.88</v>
      </c>
      <c r="AE88" s="172">
        <f>+AD88</f>
        <v>167695.88</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7">
        <f>SUM(F88:F94)</f>
        <v>382000</v>
      </c>
      <c r="G95" s="167">
        <f t="shared" ref="G95:M95" si="34">SUM(G88:G94)</f>
        <v>5400000</v>
      </c>
      <c r="H95" s="167">
        <f t="shared" si="34"/>
        <v>152900000</v>
      </c>
      <c r="I95" s="167">
        <f t="shared" si="34"/>
        <v>0</v>
      </c>
      <c r="J95" s="167">
        <f t="shared" si="34"/>
        <v>20161.55</v>
      </c>
      <c r="K95" s="167">
        <f t="shared" si="34"/>
        <v>59302.5</v>
      </c>
      <c r="L95" s="167">
        <f t="shared" si="34"/>
        <v>156581</v>
      </c>
      <c r="M95" s="167">
        <f t="shared" si="34"/>
        <v>67701</v>
      </c>
      <c r="N95" s="167">
        <f t="shared" ref="N95:O95" si="35">SUM(N88:N94)</f>
        <v>46</v>
      </c>
      <c r="O95" s="167">
        <f t="shared" si="35"/>
        <v>13</v>
      </c>
      <c r="Q95" s="167">
        <f>SUM(Q88:Q94)/1</f>
        <v>438.29456521739127</v>
      </c>
      <c r="R95" s="167">
        <f>SUM(R88:R94)/1</f>
        <v>4561.7307692307695</v>
      </c>
      <c r="S95" s="167">
        <f t="shared" ref="S95:T95" si="36">SUM(S88:S94)/1</f>
        <v>82.5</v>
      </c>
      <c r="T95" s="167">
        <f t="shared" si="36"/>
        <v>118.4</v>
      </c>
      <c r="U95" s="167">
        <f t="shared" ref="U95:X95" si="37">SUM(U88:U94)</f>
        <v>8304.347826086956</v>
      </c>
      <c r="V95" s="167">
        <f t="shared" si="37"/>
        <v>415384.61538461538</v>
      </c>
      <c r="W95" s="167">
        <f t="shared" si="37"/>
        <v>17000</v>
      </c>
      <c r="X95" s="167">
        <f t="shared" si="37"/>
        <v>17000</v>
      </c>
      <c r="Z95" s="167">
        <f t="shared" ref="Z95:AA95" si="38">SUM(Z88:Z94)</f>
        <v>80542.880000000005</v>
      </c>
      <c r="AA95" s="167">
        <f t="shared" si="38"/>
        <v>192669.6</v>
      </c>
      <c r="AC95" s="167">
        <f t="shared" ref="AC95:AE95" si="39">SUM(AC88:AC94)</f>
        <v>79464.05</v>
      </c>
      <c r="AD95" s="167">
        <f t="shared" si="39"/>
        <v>167695.88</v>
      </c>
      <c r="AE95" s="167">
        <f t="shared" si="39"/>
        <v>167695.88</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4" t="s">
        <v>101</v>
      </c>
    </row>
    <row r="2" spans="1:20" ht="12.9" customHeight="1" x14ac:dyDescent="0.3">
      <c r="A2" s="119" t="s">
        <v>106</v>
      </c>
      <c r="B2" s="120"/>
      <c r="C2" s="120"/>
      <c r="D2" s="121"/>
      <c r="E2" s="4"/>
      <c r="F2" s="4"/>
      <c r="G2" s="4"/>
      <c r="H2" s="4"/>
      <c r="I2" s="4"/>
      <c r="K2" s="284" t="s">
        <v>15</v>
      </c>
      <c r="L2" s="285"/>
      <c r="M2" s="9"/>
      <c r="N2" s="9"/>
      <c r="O2" s="284" t="s">
        <v>105</v>
      </c>
      <c r="P2" s="293"/>
      <c r="Q2" s="285"/>
      <c r="R2" s="9"/>
      <c r="S2" s="9"/>
      <c r="T2" s="9"/>
    </row>
    <row r="3" spans="1:20" x14ac:dyDescent="0.3">
      <c r="A3" s="122" t="s">
        <v>10</v>
      </c>
      <c r="B3" s="49"/>
      <c r="C3" s="49"/>
      <c r="D3" s="123"/>
      <c r="E3" s="4"/>
      <c r="F3" s="4"/>
      <c r="G3" s="4"/>
      <c r="H3" s="9"/>
      <c r="I3" s="4"/>
      <c r="K3" s="286"/>
      <c r="L3" s="287"/>
      <c r="M3" s="9"/>
      <c r="N3" s="9"/>
      <c r="O3" s="286"/>
      <c r="P3" s="294"/>
      <c r="Q3" s="287"/>
      <c r="R3" s="9"/>
      <c r="S3" s="9"/>
      <c r="T3" s="9"/>
    </row>
    <row r="4" spans="1:20" x14ac:dyDescent="0.3">
      <c r="A4" s="124" t="s">
        <v>11</v>
      </c>
      <c r="B4" s="50"/>
      <c r="C4" s="50"/>
      <c r="D4" s="125"/>
      <c r="E4" s="4"/>
      <c r="F4" s="4"/>
      <c r="G4" s="4"/>
      <c r="H4" s="9"/>
      <c r="I4" s="4"/>
      <c r="K4" s="286"/>
      <c r="L4" s="287"/>
      <c r="M4" s="9"/>
      <c r="N4" s="9"/>
      <c r="O4" s="286"/>
      <c r="P4" s="294"/>
      <c r="Q4" s="287"/>
      <c r="R4" s="9"/>
      <c r="S4" s="9"/>
      <c r="T4" s="9"/>
    </row>
    <row r="5" spans="1:20" ht="15" thickBot="1" x14ac:dyDescent="0.35">
      <c r="A5" s="124" t="s">
        <v>12</v>
      </c>
      <c r="B5" s="50"/>
      <c r="C5" s="50"/>
      <c r="D5" s="125"/>
      <c r="E5" s="4"/>
      <c r="F5" s="50"/>
      <c r="G5" s="4"/>
      <c r="H5" s="9"/>
      <c r="I5" s="4"/>
      <c r="K5" s="288"/>
      <c r="L5" s="289"/>
      <c r="M5" s="9"/>
      <c r="N5" s="9"/>
      <c r="O5" s="286"/>
      <c r="P5" s="294"/>
      <c r="Q5" s="287"/>
      <c r="R5" s="9"/>
      <c r="S5" s="9"/>
      <c r="T5" s="9"/>
    </row>
    <row r="6" spans="1:20" ht="15" thickBot="1" x14ac:dyDescent="0.35">
      <c r="A6" s="124" t="s">
        <v>13</v>
      </c>
      <c r="B6" s="50"/>
      <c r="C6" s="50"/>
      <c r="D6" s="125"/>
      <c r="E6" s="4"/>
      <c r="F6" s="50"/>
      <c r="G6" s="4"/>
      <c r="H6" s="9"/>
      <c r="I6" s="9"/>
      <c r="J6" s="9"/>
      <c r="L6" s="9"/>
      <c r="M6" s="9"/>
      <c r="N6" s="9"/>
      <c r="O6" s="288"/>
      <c r="P6" s="295"/>
      <c r="Q6" s="289"/>
      <c r="R6" s="9"/>
    </row>
    <row r="7" spans="1:20" ht="15" thickBot="1" x14ac:dyDescent="0.35">
      <c r="A7" s="126" t="s">
        <v>14</v>
      </c>
      <c r="B7" s="127"/>
      <c r="C7" s="127"/>
      <c r="D7" s="128"/>
      <c r="E7" s="4"/>
      <c r="F7" s="50"/>
      <c r="G7" s="4"/>
      <c r="H7" s="4"/>
      <c r="I7" s="4"/>
      <c r="K7" s="47"/>
      <c r="L7" s="4"/>
      <c r="M7" s="4"/>
      <c r="O7" s="146"/>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1" t="s">
        <v>218</v>
      </c>
      <c r="B11" s="190"/>
      <c r="C11" s="190"/>
      <c r="D11" s="190"/>
      <c r="E11" s="190"/>
      <c r="F11" s="190"/>
      <c r="G11" s="190"/>
      <c r="H11" s="190"/>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6"/>
      <c r="B15" s="186"/>
      <c r="C15" s="186"/>
      <c r="D15" s="186"/>
      <c r="E15" s="186"/>
      <c r="F15" s="186"/>
      <c r="G15" s="186"/>
      <c r="H15" s="186"/>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8" t="s">
        <v>131</v>
      </c>
      <c r="J17" s="4"/>
      <c r="K17" s="47"/>
      <c r="L17" s="4"/>
      <c r="M17" s="118"/>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7"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55" sqref="AR55"/>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8"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8"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6"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50"/>
      <c r="AM20" s="307" t="s">
        <v>184</v>
      </c>
      <c r="AN20" s="308"/>
      <c r="AO20" s="308"/>
      <c r="AP20" s="308"/>
      <c r="AQ20" s="308"/>
      <c r="AR20" s="309"/>
      <c r="AS20" s="4"/>
      <c r="AT20" s="150"/>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4">
        <v>44986</v>
      </c>
      <c r="B22" s="11" t="s">
        <v>195</v>
      </c>
      <c r="C22" s="11" t="s">
        <v>196</v>
      </c>
      <c r="D22" s="165" t="s">
        <v>216</v>
      </c>
      <c r="E22" s="11"/>
      <c r="F22" s="11"/>
      <c r="G22" s="11"/>
      <c r="H22" s="11"/>
      <c r="I22" s="11"/>
      <c r="J22" s="11"/>
      <c r="M22" s="169">
        <v>130987</v>
      </c>
      <c r="N22" s="169">
        <v>53737</v>
      </c>
      <c r="O22" s="169">
        <v>83281</v>
      </c>
      <c r="P22" s="169">
        <v>115492</v>
      </c>
      <c r="Q22" s="169">
        <v>55163</v>
      </c>
      <c r="R22" s="169">
        <v>235392</v>
      </c>
      <c r="S22" s="4"/>
      <c r="T22" s="4"/>
      <c r="U22" s="11"/>
      <c r="V22" s="11"/>
      <c r="W22" s="11"/>
      <c r="X22" s="11"/>
      <c r="Y22" s="11"/>
      <c r="Z22" s="11"/>
      <c r="AA22" s="4"/>
      <c r="AB22" s="11" t="s">
        <v>195</v>
      </c>
      <c r="AC22" s="11" t="s">
        <v>196</v>
      </c>
      <c r="AD22" s="165" t="s">
        <v>216</v>
      </c>
      <c r="AE22" s="21"/>
      <c r="AF22" s="21"/>
      <c r="AG22" s="21"/>
      <c r="AH22" s="21"/>
      <c r="AI22" s="21"/>
      <c r="AJ22" s="21"/>
      <c r="AK22" s="4"/>
      <c r="AL22" s="4"/>
      <c r="AM22" s="192">
        <v>32209</v>
      </c>
      <c r="AN22" s="192">
        <v>62589</v>
      </c>
      <c r="AO22" s="192">
        <v>46</v>
      </c>
      <c r="AP22" s="192">
        <v>8122</v>
      </c>
      <c r="AQ22" s="192">
        <v>-60</v>
      </c>
      <c r="AR22" s="192">
        <v>136207</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9"/>
      <c r="V33" s="149"/>
      <c r="W33" s="149"/>
      <c r="X33" s="149"/>
      <c r="Y33" s="149"/>
      <c r="Z33" s="149"/>
      <c r="AA33" s="4"/>
      <c r="AB33" s="90"/>
      <c r="AC33" s="90"/>
      <c r="AD33" s="83"/>
      <c r="AE33" s="99"/>
      <c r="AF33" s="99"/>
      <c r="AG33" s="99"/>
      <c r="AH33" s="99"/>
      <c r="AI33" s="99"/>
      <c r="AJ33" s="99"/>
      <c r="AK33" s="4"/>
      <c r="AL33" s="4"/>
      <c r="AM33" s="151"/>
      <c r="AN33" s="99"/>
      <c r="AO33" s="99"/>
      <c r="AP33" s="99"/>
      <c r="AQ33" s="99"/>
      <c r="AR33" s="99"/>
      <c r="AS33" s="4"/>
      <c r="AT33" s="4"/>
      <c r="AU33" s="151"/>
      <c r="AV33" s="99"/>
      <c r="AW33" s="99"/>
      <c r="AX33" s="99"/>
      <c r="AY33" s="99"/>
      <c r="AZ33" s="99"/>
      <c r="BA33" s="4"/>
    </row>
    <row r="34" spans="1:53" ht="13.8" thickBot="1" x14ac:dyDescent="0.3">
      <c r="B34" s="91" t="s">
        <v>157</v>
      </c>
      <c r="C34" s="98"/>
      <c r="D34" s="100"/>
      <c r="E34" s="166">
        <f>SUM(E22:E33)</f>
        <v>0</v>
      </c>
      <c r="F34" s="166">
        <f t="shared" ref="F34:I34" si="0">SUM(F22:F33)</f>
        <v>0</v>
      </c>
      <c r="G34" s="166">
        <f t="shared" si="0"/>
        <v>0</v>
      </c>
      <c r="H34" s="166">
        <f t="shared" si="0"/>
        <v>0</v>
      </c>
      <c r="I34" s="166">
        <f t="shared" si="0"/>
        <v>0</v>
      </c>
      <c r="J34" s="94"/>
      <c r="L34" s="142" t="s">
        <v>158</v>
      </c>
      <c r="M34" s="167">
        <f t="shared" ref="M34:R34" si="1">SUM(M22:M33)</f>
        <v>130987</v>
      </c>
      <c r="N34" s="167">
        <f t="shared" si="1"/>
        <v>53737</v>
      </c>
      <c r="O34" s="167">
        <f t="shared" si="1"/>
        <v>83281</v>
      </c>
      <c r="P34" s="167">
        <f t="shared" si="1"/>
        <v>115492</v>
      </c>
      <c r="Q34" s="167">
        <f t="shared" si="1"/>
        <v>55163</v>
      </c>
      <c r="R34" s="167">
        <f t="shared" si="1"/>
        <v>235392</v>
      </c>
      <c r="S34" s="4"/>
      <c r="T34" s="142" t="s">
        <v>179</v>
      </c>
      <c r="U34" s="166">
        <f t="shared" ref="U34:Z34" si="2">SUM(U22:U33)</f>
        <v>0</v>
      </c>
      <c r="V34" s="166">
        <f t="shared" si="2"/>
        <v>0</v>
      </c>
      <c r="W34" s="166">
        <f t="shared" si="2"/>
        <v>0</v>
      </c>
      <c r="X34" s="166">
        <f t="shared" si="2"/>
        <v>0</v>
      </c>
      <c r="Y34" s="166">
        <f t="shared" si="2"/>
        <v>0</v>
      </c>
      <c r="Z34" s="166">
        <f t="shared" si="2"/>
        <v>0</v>
      </c>
      <c r="AA34" s="4"/>
      <c r="AB34" s="91" t="s">
        <v>157</v>
      </c>
      <c r="AC34" s="98"/>
      <c r="AD34" s="100"/>
      <c r="AE34" s="168">
        <f>SUM(AE22:AE33)</f>
        <v>0</v>
      </c>
      <c r="AF34" s="168">
        <f t="shared" ref="AF34:AJ34" si="3">SUM(AF22:AF33)</f>
        <v>0</v>
      </c>
      <c r="AG34" s="168">
        <f t="shared" si="3"/>
        <v>0</v>
      </c>
      <c r="AH34" s="168">
        <f t="shared" si="3"/>
        <v>0</v>
      </c>
      <c r="AI34" s="168">
        <f t="shared" si="3"/>
        <v>0</v>
      </c>
      <c r="AJ34" s="168">
        <f t="shared" si="3"/>
        <v>0</v>
      </c>
      <c r="AK34" s="4"/>
      <c r="AL34" s="142" t="s">
        <v>158</v>
      </c>
      <c r="AM34" s="168">
        <f t="shared" ref="AM34:AR34" si="4">SUM(AM22:AM33)</f>
        <v>32209</v>
      </c>
      <c r="AN34" s="168">
        <f t="shared" si="4"/>
        <v>62589</v>
      </c>
      <c r="AO34" s="168">
        <f t="shared" si="4"/>
        <v>46</v>
      </c>
      <c r="AP34" s="168">
        <f t="shared" si="4"/>
        <v>8122</v>
      </c>
      <c r="AQ34" s="168">
        <f t="shared" si="4"/>
        <v>-60</v>
      </c>
      <c r="AR34" s="168">
        <f t="shared" si="4"/>
        <v>136207</v>
      </c>
      <c r="AS34" s="4"/>
      <c r="AT34" s="142" t="s">
        <v>179</v>
      </c>
      <c r="AU34" s="168">
        <f t="shared" ref="AU34:AZ34" si="5">SUM(AU22:AU33)</f>
        <v>0</v>
      </c>
      <c r="AV34" s="168">
        <f t="shared" si="5"/>
        <v>0</v>
      </c>
      <c r="AW34" s="168">
        <f t="shared" si="5"/>
        <v>0</v>
      </c>
      <c r="AX34" s="168">
        <f t="shared" si="5"/>
        <v>0</v>
      </c>
      <c r="AY34" s="168">
        <f t="shared" si="5"/>
        <v>0</v>
      </c>
      <c r="AZ34" s="168">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50"/>
      <c r="AM36" s="308" t="str">
        <f>AM20</f>
        <v>Non-Residential Arrearage Dollars</v>
      </c>
      <c r="AN36" s="308"/>
      <c r="AO36" s="308"/>
      <c r="AP36" s="308"/>
      <c r="AQ36" s="308"/>
      <c r="AR36" s="309"/>
      <c r="AS36" s="4"/>
      <c r="AT36" s="150"/>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8" t="s">
        <v>110</v>
      </c>
      <c r="O37" s="148" t="s">
        <v>111</v>
      </c>
      <c r="P37" s="148" t="s">
        <v>112</v>
      </c>
      <c r="Q37" s="148" t="s">
        <v>113</v>
      </c>
      <c r="R37" s="148"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1">
        <v>44621</v>
      </c>
      <c r="B38" s="11" t="s">
        <v>195</v>
      </c>
      <c r="C38" s="11" t="s">
        <v>196</v>
      </c>
      <c r="D38" s="165" t="s">
        <v>216</v>
      </c>
      <c r="E38" s="11"/>
      <c r="F38" s="11"/>
      <c r="G38" s="11"/>
      <c r="H38" s="11"/>
      <c r="I38" s="11"/>
      <c r="J38" s="11"/>
      <c r="M38" s="169">
        <v>138233</v>
      </c>
      <c r="N38" s="169">
        <v>49408</v>
      </c>
      <c r="O38" s="169">
        <v>57533</v>
      </c>
      <c r="P38" s="169">
        <v>110124</v>
      </c>
      <c r="Q38" s="169">
        <v>46867</v>
      </c>
      <c r="R38" s="169">
        <v>563335</v>
      </c>
      <c r="S38" s="4"/>
      <c r="T38" s="4"/>
      <c r="U38" s="11"/>
      <c r="V38" s="11"/>
      <c r="W38" s="11"/>
      <c r="X38" s="11"/>
      <c r="Y38" s="11"/>
      <c r="Z38" s="11"/>
      <c r="AA38" s="4"/>
      <c r="AB38" s="11" t="s">
        <v>195</v>
      </c>
      <c r="AC38" s="11" t="s">
        <v>196</v>
      </c>
      <c r="AD38" s="165" t="s">
        <v>216</v>
      </c>
      <c r="AE38" s="21"/>
      <c r="AF38" s="21"/>
      <c r="AG38" s="21"/>
      <c r="AH38" s="21"/>
      <c r="AI38" s="21"/>
      <c r="AJ38" s="21"/>
      <c r="AK38" s="4"/>
      <c r="AL38" s="4"/>
      <c r="AM38" s="192">
        <v>181984</v>
      </c>
      <c r="AN38" s="192">
        <v>46628</v>
      </c>
      <c r="AO38" s="192">
        <v>-61</v>
      </c>
      <c r="AP38" s="192">
        <v>816</v>
      </c>
      <c r="AQ38" s="192">
        <v>-324</v>
      </c>
      <c r="AR38" s="192">
        <v>38566</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9"/>
      <c r="V49" s="11"/>
      <c r="W49" s="11"/>
      <c r="X49" s="11"/>
      <c r="Y49" s="11"/>
      <c r="Z49" s="11"/>
      <c r="AA49" s="4"/>
      <c r="AB49" s="90"/>
      <c r="AC49" s="90"/>
      <c r="AD49" s="83"/>
      <c r="AE49" s="21"/>
      <c r="AF49" s="21"/>
      <c r="AG49" s="21"/>
      <c r="AH49" s="21"/>
      <c r="AI49" s="21"/>
      <c r="AJ49" s="21"/>
      <c r="AK49" s="4"/>
      <c r="AL49" s="4"/>
      <c r="AM49" s="151"/>
      <c r="AN49" s="21"/>
      <c r="AO49" s="21"/>
      <c r="AP49" s="21"/>
      <c r="AQ49" s="21"/>
      <c r="AR49" s="21"/>
      <c r="AS49" s="4"/>
      <c r="AT49" s="4"/>
      <c r="AU49" s="151"/>
      <c r="AV49" s="21"/>
      <c r="AW49" s="21"/>
      <c r="AX49" s="21"/>
      <c r="AY49" s="21"/>
      <c r="AZ49" s="21"/>
      <c r="BA49" s="4"/>
    </row>
    <row r="50" spans="1:53" ht="13.8" thickBot="1" x14ac:dyDescent="0.3">
      <c r="B50" s="91" t="s">
        <v>157</v>
      </c>
      <c r="C50" s="98"/>
      <c r="D50" s="100"/>
      <c r="E50" s="168">
        <f>SUM(E38:E49)</f>
        <v>0</v>
      </c>
      <c r="F50" s="168">
        <f t="shared" ref="F50:J50" si="6">SUM(F38:F49)</f>
        <v>0</v>
      </c>
      <c r="G50" s="168">
        <f t="shared" si="6"/>
        <v>0</v>
      </c>
      <c r="H50" s="168">
        <f t="shared" si="6"/>
        <v>0</v>
      </c>
      <c r="I50" s="168">
        <f t="shared" si="6"/>
        <v>0</v>
      </c>
      <c r="J50" s="168">
        <f t="shared" si="6"/>
        <v>0</v>
      </c>
      <c r="L50" s="142" t="s">
        <v>158</v>
      </c>
      <c r="M50" s="166">
        <f t="shared" ref="M50:R50" si="7">SUM(M38:M49)</f>
        <v>138233</v>
      </c>
      <c r="N50" s="166">
        <f t="shared" si="7"/>
        <v>49408</v>
      </c>
      <c r="O50" s="166">
        <f t="shared" si="7"/>
        <v>57533</v>
      </c>
      <c r="P50" s="166">
        <f t="shared" si="7"/>
        <v>110124</v>
      </c>
      <c r="Q50" s="166">
        <f t="shared" si="7"/>
        <v>46867</v>
      </c>
      <c r="R50" s="166">
        <f t="shared" si="7"/>
        <v>563335</v>
      </c>
      <c r="S50" s="4"/>
      <c r="T50" s="142" t="s">
        <v>179</v>
      </c>
      <c r="U50" s="166">
        <f t="shared" ref="U50:Z50" si="8">SUM(U38:U49)</f>
        <v>0</v>
      </c>
      <c r="V50" s="166">
        <f t="shared" si="8"/>
        <v>0</v>
      </c>
      <c r="W50" s="166">
        <f t="shared" si="8"/>
        <v>0</v>
      </c>
      <c r="X50" s="166">
        <f t="shared" si="8"/>
        <v>0</v>
      </c>
      <c r="Y50" s="166">
        <f t="shared" si="8"/>
        <v>0</v>
      </c>
      <c r="Z50" s="166">
        <f t="shared" si="8"/>
        <v>0</v>
      </c>
      <c r="AA50" s="4"/>
      <c r="AB50" s="91" t="s">
        <v>157</v>
      </c>
      <c r="AC50" s="98"/>
      <c r="AD50" s="100"/>
      <c r="AE50" s="166">
        <f t="shared" ref="AE50:AJ50" si="9">SUM(AE38:AE49)</f>
        <v>0</v>
      </c>
      <c r="AF50" s="166">
        <f t="shared" si="9"/>
        <v>0</v>
      </c>
      <c r="AG50" s="166">
        <f t="shared" si="9"/>
        <v>0</v>
      </c>
      <c r="AH50" s="166">
        <f t="shared" si="9"/>
        <v>0</v>
      </c>
      <c r="AI50" s="166">
        <f t="shared" si="9"/>
        <v>0</v>
      </c>
      <c r="AJ50" s="166">
        <f t="shared" si="9"/>
        <v>0</v>
      </c>
      <c r="AK50" s="4"/>
      <c r="AL50" s="142" t="s">
        <v>158</v>
      </c>
      <c r="AM50" s="166">
        <f t="shared" ref="AM50:AR50" si="10">SUM(AM38:AM49)</f>
        <v>181984</v>
      </c>
      <c r="AN50" s="166">
        <f t="shared" si="10"/>
        <v>46628</v>
      </c>
      <c r="AO50" s="166">
        <f t="shared" si="10"/>
        <v>-61</v>
      </c>
      <c r="AP50" s="166">
        <f t="shared" si="10"/>
        <v>816</v>
      </c>
      <c r="AQ50" s="166">
        <f t="shared" si="10"/>
        <v>-324</v>
      </c>
      <c r="AR50" s="166">
        <f t="shared" si="10"/>
        <v>38566</v>
      </c>
      <c r="AS50" s="4"/>
      <c r="AT50" s="142" t="s">
        <v>179</v>
      </c>
      <c r="AU50" s="166">
        <f t="shared" ref="AU50:AZ50" si="11">SUM(AU38:AU49)</f>
        <v>0</v>
      </c>
      <c r="AV50" s="166">
        <f t="shared" si="11"/>
        <v>0</v>
      </c>
      <c r="AW50" s="166">
        <f t="shared" si="11"/>
        <v>0</v>
      </c>
      <c r="AX50" s="166">
        <f t="shared" si="11"/>
        <v>0</v>
      </c>
      <c r="AY50" s="166">
        <f t="shared" si="11"/>
        <v>0</v>
      </c>
      <c r="AZ50" s="166">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50"/>
      <c r="AM52" s="308" t="str">
        <f>AM36</f>
        <v>Non-Residential Arrearage Dollars</v>
      </c>
      <c r="AN52" s="308"/>
      <c r="AO52" s="308"/>
      <c r="AP52" s="308"/>
      <c r="AQ52" s="308"/>
      <c r="AR52" s="309"/>
      <c r="AS52" s="4"/>
      <c r="AT52" s="150"/>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40"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1">
        <v>43525</v>
      </c>
      <c r="B54" s="11" t="s">
        <v>195</v>
      </c>
      <c r="C54" s="11" t="s">
        <v>196</v>
      </c>
      <c r="D54" s="165" t="s">
        <v>216</v>
      </c>
      <c r="E54" s="11"/>
      <c r="F54" s="11"/>
      <c r="G54" s="11"/>
      <c r="H54" s="11"/>
      <c r="I54" s="11"/>
      <c r="J54" s="11"/>
      <c r="M54" s="169">
        <v>136531</v>
      </c>
      <c r="N54" s="198">
        <v>33143</v>
      </c>
      <c r="O54" s="169">
        <v>78900</v>
      </c>
      <c r="P54" s="169">
        <v>110286</v>
      </c>
      <c r="Q54" s="169">
        <v>30432</v>
      </c>
      <c r="R54" s="169">
        <v>279748</v>
      </c>
      <c r="S54" s="4"/>
      <c r="T54" s="4"/>
      <c r="U54" s="11"/>
      <c r="V54" s="11"/>
      <c r="W54" s="11"/>
      <c r="X54" s="11"/>
      <c r="Y54" s="11"/>
      <c r="Z54" s="11"/>
      <c r="AA54" s="4"/>
      <c r="AB54" s="11" t="s">
        <v>195</v>
      </c>
      <c r="AC54" s="11" t="s">
        <v>196</v>
      </c>
      <c r="AD54" s="165" t="s">
        <v>216</v>
      </c>
      <c r="AE54" s="21"/>
      <c r="AF54" s="21"/>
      <c r="AG54" s="21"/>
      <c r="AH54" s="21"/>
      <c r="AI54" s="21"/>
      <c r="AJ54" s="21"/>
      <c r="AK54" s="4"/>
      <c r="AL54" s="4"/>
      <c r="AM54" s="192">
        <v>8933</v>
      </c>
      <c r="AN54" s="192">
        <v>22984</v>
      </c>
      <c r="AO54" s="192">
        <v>-754</v>
      </c>
      <c r="AP54" s="192">
        <v>1584</v>
      </c>
      <c r="AQ54" s="192">
        <v>0</v>
      </c>
      <c r="AR54" s="192">
        <v>48391</v>
      </c>
      <c r="AS54" s="4"/>
      <c r="AT54" s="4"/>
      <c r="AU54" s="21"/>
      <c r="AV54" s="21"/>
      <c r="AW54" s="21"/>
      <c r="AX54" s="21"/>
      <c r="AY54" s="21"/>
      <c r="AZ54" s="21"/>
      <c r="BA54" s="4"/>
    </row>
    <row r="55" spans="1:53" x14ac:dyDescent="0.25">
      <c r="B55" s="11"/>
      <c r="C55" s="11"/>
      <c r="D55" s="67"/>
      <c r="E55" s="11"/>
      <c r="F55" s="11"/>
      <c r="G55" s="11"/>
      <c r="H55" s="11"/>
      <c r="I55" s="11"/>
      <c r="J55" s="11"/>
      <c r="M55" s="11"/>
      <c r="N55" s="141"/>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1"/>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1"/>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1"/>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1"/>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1"/>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1"/>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1"/>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1"/>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1"/>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1"/>
      <c r="O65" s="11"/>
      <c r="P65" s="11"/>
      <c r="Q65" s="11"/>
      <c r="R65" s="11"/>
      <c r="S65" s="4"/>
      <c r="T65" s="4"/>
      <c r="U65" s="149"/>
      <c r="V65" s="11"/>
      <c r="W65" s="11"/>
      <c r="X65" s="11"/>
      <c r="Y65" s="11"/>
      <c r="Z65" s="11"/>
      <c r="AA65" s="4"/>
      <c r="AB65" s="90"/>
      <c r="AC65" s="90"/>
      <c r="AD65" s="83"/>
      <c r="AE65" s="21"/>
      <c r="AF65" s="21"/>
      <c r="AG65" s="21"/>
      <c r="AH65" s="21"/>
      <c r="AI65" s="21"/>
      <c r="AJ65" s="21"/>
      <c r="AK65" s="4"/>
      <c r="AL65" s="4"/>
      <c r="AM65" s="151"/>
      <c r="AN65" s="21"/>
      <c r="AO65" s="21"/>
      <c r="AP65" s="21"/>
      <c r="AQ65" s="21"/>
      <c r="AR65" s="21"/>
      <c r="AS65" s="4"/>
      <c r="AT65" s="4"/>
      <c r="AU65" s="151"/>
      <c r="AV65" s="21"/>
      <c r="AW65" s="21"/>
      <c r="AX65" s="21"/>
      <c r="AY65" s="21"/>
      <c r="AZ65" s="21"/>
      <c r="BA65" s="4"/>
    </row>
    <row r="66" spans="2:61" ht="13.8" thickBot="1" x14ac:dyDescent="0.3">
      <c r="B66" s="91" t="s">
        <v>157</v>
      </c>
      <c r="C66" s="98"/>
      <c r="D66" s="100"/>
      <c r="E66" s="166">
        <f t="shared" ref="E66:J66" si="12">SUM(E54:E65)</f>
        <v>0</v>
      </c>
      <c r="F66" s="166">
        <f t="shared" si="12"/>
        <v>0</v>
      </c>
      <c r="G66" s="166">
        <f t="shared" si="12"/>
        <v>0</v>
      </c>
      <c r="H66" s="166">
        <f t="shared" si="12"/>
        <v>0</v>
      </c>
      <c r="I66" s="166">
        <f t="shared" si="12"/>
        <v>0</v>
      </c>
      <c r="J66" s="166">
        <f t="shared" si="12"/>
        <v>0</v>
      </c>
      <c r="L66" s="142" t="s">
        <v>158</v>
      </c>
      <c r="M66" s="166">
        <f t="shared" ref="M66:R66" si="13">SUM(M54:M65)</f>
        <v>136531</v>
      </c>
      <c r="N66" s="166">
        <f t="shared" si="13"/>
        <v>33143</v>
      </c>
      <c r="O66" s="166">
        <f t="shared" si="13"/>
        <v>78900</v>
      </c>
      <c r="P66" s="166">
        <f t="shared" si="13"/>
        <v>110286</v>
      </c>
      <c r="Q66" s="166">
        <f t="shared" si="13"/>
        <v>30432</v>
      </c>
      <c r="R66" s="166">
        <f t="shared" si="13"/>
        <v>279748</v>
      </c>
      <c r="S66" s="4"/>
      <c r="T66" s="142" t="s">
        <v>179</v>
      </c>
      <c r="U66" s="166">
        <f t="shared" ref="U66:Z66" si="14">SUM(U54:U65)</f>
        <v>0</v>
      </c>
      <c r="V66" s="166">
        <f t="shared" si="14"/>
        <v>0</v>
      </c>
      <c r="W66" s="166">
        <f t="shared" si="14"/>
        <v>0</v>
      </c>
      <c r="X66" s="166">
        <f t="shared" si="14"/>
        <v>0</v>
      </c>
      <c r="Y66" s="166">
        <f t="shared" si="14"/>
        <v>0</v>
      </c>
      <c r="Z66" s="166">
        <f t="shared" si="14"/>
        <v>0</v>
      </c>
      <c r="AA66" s="4"/>
      <c r="AB66" s="91" t="s">
        <v>157</v>
      </c>
      <c r="AC66" s="98"/>
      <c r="AD66" s="100"/>
      <c r="AE66" s="166">
        <f t="shared" ref="AE66:AJ66" si="15">SUM(AE54:AE65)</f>
        <v>0</v>
      </c>
      <c r="AF66" s="166">
        <f t="shared" si="15"/>
        <v>0</v>
      </c>
      <c r="AG66" s="166">
        <f t="shared" si="15"/>
        <v>0</v>
      </c>
      <c r="AH66" s="166">
        <f t="shared" si="15"/>
        <v>0</v>
      </c>
      <c r="AI66" s="166">
        <f t="shared" si="15"/>
        <v>0</v>
      </c>
      <c r="AJ66" s="166">
        <f t="shared" si="15"/>
        <v>0</v>
      </c>
      <c r="AK66" s="4"/>
      <c r="AL66" s="142" t="s">
        <v>158</v>
      </c>
      <c r="AM66" s="166">
        <f t="shared" ref="AM66:AR66" si="16">SUM(AM54:AM65)</f>
        <v>8933</v>
      </c>
      <c r="AN66" s="166">
        <f t="shared" si="16"/>
        <v>22984</v>
      </c>
      <c r="AO66" s="166">
        <f t="shared" si="16"/>
        <v>-754</v>
      </c>
      <c r="AP66" s="166">
        <f t="shared" si="16"/>
        <v>1584</v>
      </c>
      <c r="AQ66" s="166">
        <f t="shared" si="16"/>
        <v>0</v>
      </c>
      <c r="AR66" s="166">
        <f t="shared" si="16"/>
        <v>48391</v>
      </c>
      <c r="AS66" s="4"/>
      <c r="AT66" s="142" t="s">
        <v>179</v>
      </c>
      <c r="AU66" s="166">
        <f t="shared" ref="AU66:AZ66" si="17">SUM(AU54:AU65)</f>
        <v>0</v>
      </c>
      <c r="AV66" s="166">
        <f t="shared" si="17"/>
        <v>0</v>
      </c>
      <c r="AW66" s="166">
        <f t="shared" si="17"/>
        <v>0</v>
      </c>
      <c r="AX66" s="166">
        <f t="shared" si="17"/>
        <v>0</v>
      </c>
      <c r="AY66" s="166">
        <f t="shared" si="17"/>
        <v>0</v>
      </c>
      <c r="AZ66" s="166">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M8" zoomScale="70" zoomScaleNormal="70" zoomScaleSheetLayoutView="40" zoomScalePageLayoutView="55" workbookViewId="0">
      <selection activeCell="V15" sqref="V15:AD17"/>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2"/>
      <c r="B3" s="152"/>
      <c r="C3" s="152"/>
      <c r="D3" s="152"/>
      <c r="E3" s="101"/>
      <c r="F3" s="101"/>
      <c r="G3" s="101"/>
      <c r="H3" s="101"/>
      <c r="I3" s="4"/>
      <c r="J3" s="4"/>
      <c r="L3" s="153"/>
      <c r="M3" s="61"/>
      <c r="N3" s="61"/>
      <c r="O3" s="16"/>
      <c r="P3" s="16"/>
      <c r="Q3" s="16"/>
      <c r="R3" s="4"/>
      <c r="S3" s="4"/>
      <c r="T3" s="4"/>
      <c r="V3" s="153"/>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6"/>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6"/>
      <c r="M8" s="206"/>
      <c r="N8" s="206"/>
      <c r="O8" s="206"/>
      <c r="P8" s="206"/>
      <c r="Q8" s="206"/>
      <c r="R8" s="206"/>
      <c r="S8" s="206"/>
      <c r="T8" s="206"/>
      <c r="U8" s="206"/>
      <c r="V8" s="47"/>
      <c r="W8" s="4" t="s">
        <v>188</v>
      </c>
      <c r="X8" s="4"/>
      <c r="Y8" s="4"/>
      <c r="Z8" s="4"/>
      <c r="AA8" s="4"/>
      <c r="AB8" s="4"/>
      <c r="AC8" s="4"/>
      <c r="AD8" s="4"/>
    </row>
    <row r="9" spans="1:31" ht="17.399999999999999" customHeight="1" x14ac:dyDescent="0.3">
      <c r="A9" s="205" t="s">
        <v>218</v>
      </c>
      <c r="B9" s="206"/>
      <c r="C9" s="206"/>
      <c r="D9" s="206"/>
      <c r="E9" s="206"/>
      <c r="F9" s="206"/>
      <c r="G9" s="206"/>
      <c r="H9" s="206"/>
      <c r="I9" s="206"/>
      <c r="J9" s="206"/>
      <c r="L9" s="205" t="s">
        <v>218</v>
      </c>
      <c r="M9" s="206"/>
      <c r="N9" s="206"/>
      <c r="O9" s="206"/>
      <c r="P9" s="206"/>
      <c r="Q9" s="206"/>
      <c r="R9" s="206"/>
      <c r="S9" s="206"/>
      <c r="T9" s="206"/>
      <c r="U9" s="206"/>
      <c r="V9" s="205"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9"/>
      <c r="B11" s="189"/>
      <c r="C11" s="189"/>
      <c r="D11" s="189"/>
      <c r="E11" s="189"/>
      <c r="F11" s="189"/>
      <c r="G11" s="189"/>
      <c r="H11" s="189"/>
      <c r="I11" s="189"/>
      <c r="J11" s="189"/>
      <c r="L11" s="189"/>
      <c r="M11" s="189"/>
      <c r="N11" s="189"/>
      <c r="O11" s="189"/>
      <c r="P11" s="189"/>
      <c r="Q11" s="189"/>
      <c r="R11" s="189"/>
      <c r="S11" s="189"/>
      <c r="T11" s="189"/>
      <c r="U11" s="189"/>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327</v>
      </c>
      <c r="W15" s="259"/>
      <c r="X15" s="259"/>
      <c r="Y15" s="259"/>
      <c r="Z15" s="259"/>
      <c r="AA15" s="259"/>
      <c r="AB15" s="259"/>
      <c r="AC15" s="259"/>
      <c r="AD15" s="259"/>
    </row>
    <row r="16" spans="1:31" ht="17.399999999999999" customHeight="1" x14ac:dyDescent="0.3">
      <c r="A16" s="189" t="s">
        <v>289</v>
      </c>
      <c r="B16" s="189"/>
      <c r="C16" s="189"/>
      <c r="D16" s="189"/>
      <c r="E16" s="189"/>
      <c r="F16" s="189"/>
      <c r="G16" s="189"/>
      <c r="H16" s="189"/>
      <c r="I16" s="189"/>
      <c r="J16" s="189"/>
      <c r="L16" s="189"/>
      <c r="M16" s="189"/>
      <c r="N16" s="189"/>
      <c r="O16" s="189"/>
      <c r="P16" s="189"/>
      <c r="Q16" s="189"/>
      <c r="R16" s="189"/>
      <c r="S16" s="189"/>
      <c r="T16" s="189"/>
      <c r="U16" s="189"/>
      <c r="V16" s="310" t="s">
        <v>328</v>
      </c>
      <c r="W16" s="259"/>
      <c r="X16" s="259"/>
      <c r="Y16" s="259"/>
      <c r="Z16" s="259"/>
      <c r="AA16" s="259"/>
      <c r="AB16" s="259"/>
      <c r="AC16" s="259"/>
      <c r="AD16" s="259"/>
    </row>
    <row r="17" spans="1:30" ht="17.399999999999999" customHeight="1" x14ac:dyDescent="0.3">
      <c r="A17" s="259" t="s">
        <v>325</v>
      </c>
      <c r="B17" s="259"/>
      <c r="C17" s="259"/>
      <c r="D17" s="259"/>
      <c r="E17" s="259"/>
      <c r="F17" s="259"/>
      <c r="G17" s="259"/>
      <c r="H17" s="259"/>
      <c r="I17" s="259"/>
      <c r="J17" s="259"/>
      <c r="L17" s="189"/>
      <c r="M17" s="189"/>
      <c r="N17" s="189"/>
      <c r="O17" s="189"/>
      <c r="P17" s="189"/>
      <c r="Q17" s="189"/>
      <c r="R17" s="189"/>
      <c r="S17" s="189"/>
      <c r="T17" s="189"/>
      <c r="U17" s="189"/>
      <c r="V17" s="228" t="s">
        <v>329</v>
      </c>
      <c r="W17" s="227"/>
      <c r="X17" s="227"/>
      <c r="Y17" s="227"/>
      <c r="Z17" s="227"/>
      <c r="AA17" s="227"/>
      <c r="AB17" s="227"/>
      <c r="AC17" s="227"/>
      <c r="AD17" s="227"/>
    </row>
    <row r="18" spans="1:30" ht="13.8" customHeight="1" x14ac:dyDescent="0.3">
      <c r="B18" s="4"/>
      <c r="C18" s="4"/>
      <c r="D18" s="4"/>
      <c r="E18" s="4"/>
      <c r="F18" s="4"/>
      <c r="G18" s="4"/>
      <c r="H18" s="4"/>
      <c r="I18" s="4"/>
      <c r="J18" s="118" t="s">
        <v>131</v>
      </c>
      <c r="L18" s="47"/>
      <c r="M18" s="4"/>
      <c r="N18" s="4"/>
      <c r="O18" s="4"/>
      <c r="P18" s="4"/>
      <c r="Q18" s="4"/>
      <c r="R18" s="4"/>
      <c r="S18" s="4"/>
      <c r="T18" s="118" t="s">
        <v>131</v>
      </c>
      <c r="V18" s="47"/>
      <c r="W18" s="4"/>
      <c r="X18" s="4"/>
      <c r="Y18" s="4"/>
      <c r="Z18" s="4"/>
      <c r="AA18" s="4"/>
      <c r="AB18" s="4"/>
      <c r="AC18" s="4"/>
      <c r="AD18" s="4"/>
    </row>
    <row r="19" spans="1:30" x14ac:dyDescent="0.3">
      <c r="A19" s="136" t="str">
        <f>Arrearages!A20</f>
        <v>Jackson Township MUA</v>
      </c>
      <c r="B19" s="4"/>
      <c r="C19" s="4"/>
      <c r="D19" s="4"/>
      <c r="E19" s="4"/>
      <c r="F19" s="4"/>
      <c r="H19" s="4"/>
      <c r="I19" s="4"/>
      <c r="L19" s="47"/>
      <c r="M19" s="4"/>
      <c r="N19" s="4"/>
      <c r="O19" s="4"/>
      <c r="V19" s="47"/>
      <c r="W19" s="4"/>
      <c r="AB19" s="4"/>
      <c r="AC19" s="4"/>
      <c r="AD19" s="4"/>
    </row>
    <row r="20" spans="1:30" ht="66" x14ac:dyDescent="0.3">
      <c r="A20" s="164">
        <v>44986</v>
      </c>
      <c r="B20" s="64" t="s">
        <v>114</v>
      </c>
      <c r="C20" s="64" t="s">
        <v>17</v>
      </c>
      <c r="D20" s="64" t="s">
        <v>108</v>
      </c>
      <c r="E20" s="64" t="s">
        <v>18</v>
      </c>
      <c r="F20" s="65" t="s">
        <v>137</v>
      </c>
      <c r="G20" s="65" t="s">
        <v>326</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2" t="s">
        <v>216</v>
      </c>
      <c r="F21" s="11">
        <v>68</v>
      </c>
      <c r="G21" s="169">
        <f>I21/7</f>
        <v>182.66857142857143</v>
      </c>
      <c r="H21" s="169">
        <v>86950.24</v>
      </c>
      <c r="I21" s="169">
        <f>+H21/F21</f>
        <v>1278.68</v>
      </c>
      <c r="J21" s="11">
        <v>12</v>
      </c>
      <c r="L21" s="11"/>
      <c r="M21" s="11"/>
      <c r="N21" s="11"/>
      <c r="O21" s="11"/>
      <c r="P21" s="11"/>
      <c r="Q21" s="11"/>
      <c r="R21" s="11"/>
      <c r="S21" s="11"/>
      <c r="T21" s="11"/>
      <c r="V21" s="11"/>
      <c r="W21" s="11"/>
      <c r="X21" s="11"/>
      <c r="Y21" s="11"/>
      <c r="Z21" s="11"/>
      <c r="AA21" s="11"/>
      <c r="AB21" s="169">
        <v>2200</v>
      </c>
      <c r="AC21" s="169">
        <v>41798</v>
      </c>
      <c r="AD21" s="169">
        <f>+AC21/AB21</f>
        <v>18.99909090909091</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9">
        <f>SUM(AB21:AB30)</f>
        <v>2200</v>
      </c>
      <c r="AC31" s="219">
        <f t="shared" ref="AC31:AD31" si="0">SUM(AC21:AC30)</f>
        <v>41798</v>
      </c>
      <c r="AD31" s="219">
        <f t="shared" si="0"/>
        <v>18.99909090909091</v>
      </c>
    </row>
    <row r="32" spans="1:30" s="4" customFormat="1" ht="13.2" x14ac:dyDescent="0.25">
      <c r="A32" s="52"/>
      <c r="L32" s="47"/>
      <c r="V32" s="47"/>
    </row>
    <row r="33" spans="1:30" ht="66" x14ac:dyDescent="0.3">
      <c r="A33" s="164">
        <v>44621</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2" t="s">
        <v>216</v>
      </c>
      <c r="F34" s="11"/>
      <c r="G34" s="11"/>
      <c r="H34" s="11"/>
      <c r="I34" s="11"/>
      <c r="J34" s="11"/>
      <c r="L34" s="11"/>
      <c r="M34" s="11"/>
      <c r="N34" s="11"/>
      <c r="O34" s="11"/>
      <c r="P34" s="11"/>
      <c r="Q34" s="11"/>
      <c r="R34" s="11"/>
      <c r="S34" s="11"/>
      <c r="T34" s="11"/>
      <c r="V34" s="11"/>
      <c r="W34" s="11"/>
      <c r="X34" s="11"/>
      <c r="Y34" s="11"/>
      <c r="Z34" s="11"/>
      <c r="AA34" s="11"/>
      <c r="AB34" s="169">
        <v>1897</v>
      </c>
      <c r="AC34" s="169">
        <v>29986</v>
      </c>
      <c r="AD34" s="169">
        <f>+AC34/AB34</f>
        <v>15.807063784923564</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9">
        <f>SUM(AB34:AB43)</f>
        <v>1897</v>
      </c>
      <c r="AC44" s="219">
        <f t="shared" ref="AC44" si="1">SUM(AC34:AC43)</f>
        <v>29986</v>
      </c>
      <c r="AD44" s="219">
        <f t="shared" ref="AD44" si="2">SUM(AD34:AD43)</f>
        <v>15.807063784923564</v>
      </c>
    </row>
    <row r="45" spans="1:30" s="4" customFormat="1" ht="13.2" x14ac:dyDescent="0.25">
      <c r="A45" s="52"/>
      <c r="L45" s="47"/>
      <c r="V45" s="47"/>
    </row>
    <row r="46" spans="1:30" ht="66" x14ac:dyDescent="0.3">
      <c r="A46" s="164">
        <v>43525</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2" t="s">
        <v>216</v>
      </c>
      <c r="F47" s="11"/>
      <c r="G47" s="11"/>
      <c r="H47" s="11"/>
      <c r="I47" s="11"/>
      <c r="J47" s="11"/>
      <c r="L47" s="11"/>
      <c r="M47" s="11"/>
      <c r="N47" s="11"/>
      <c r="O47" s="11"/>
      <c r="P47" s="11"/>
      <c r="Q47" s="11"/>
      <c r="R47" s="11"/>
      <c r="S47" s="11"/>
      <c r="T47" s="11"/>
      <c r="V47" s="11"/>
      <c r="W47" s="11"/>
      <c r="X47" s="11"/>
      <c r="Y47" s="11"/>
      <c r="Z47" s="11"/>
      <c r="AA47" s="11"/>
      <c r="AB47" s="169">
        <v>2378</v>
      </c>
      <c r="AC47" s="169">
        <v>45035</v>
      </c>
      <c r="AD47" s="169">
        <f>+AC47/AB47</f>
        <v>18.938183347350716</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9">
        <f>SUM(AB47:AB56)</f>
        <v>2378</v>
      </c>
      <c r="AC57" s="219">
        <f t="shared" ref="AC57" si="3">SUM(AC47:AC56)</f>
        <v>45035</v>
      </c>
      <c r="AD57" s="219">
        <f t="shared" ref="AD57" si="4">SUM(AD47:AD56)</f>
        <v>18.938183347350716</v>
      </c>
    </row>
    <row r="58" spans="1:30" s="4" customFormat="1" ht="13.2" x14ac:dyDescent="0.25">
      <c r="A58" s="52"/>
      <c r="L58" s="47"/>
      <c r="V58" s="47"/>
    </row>
    <row r="59" spans="1:30" ht="66" x14ac:dyDescent="0.3">
      <c r="A59" s="164">
        <v>44986</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2" t="s">
        <v>216</v>
      </c>
      <c r="F60" s="11"/>
      <c r="G60" s="11"/>
      <c r="H60" s="11"/>
      <c r="I60" s="11"/>
      <c r="J60" s="11"/>
      <c r="L60" s="11"/>
      <c r="M60" s="11"/>
      <c r="N60" s="11"/>
      <c r="O60" s="11"/>
      <c r="P60" s="11"/>
      <c r="Q60" s="11"/>
      <c r="R60" s="11"/>
      <c r="S60" s="11"/>
      <c r="T60" s="11"/>
      <c r="V60" s="11"/>
      <c r="W60" s="11"/>
      <c r="X60" s="11"/>
      <c r="Y60" s="11"/>
      <c r="Z60" s="11"/>
      <c r="AA60" s="11"/>
      <c r="AB60" s="169">
        <v>132</v>
      </c>
      <c r="AC60" s="169">
        <v>4352</v>
      </c>
      <c r="AD60" s="169">
        <f>+AC60/AB60</f>
        <v>32.969696969696969</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9">
        <f>SUM(AB60:AB70)</f>
        <v>132</v>
      </c>
      <c r="AC71" s="219">
        <f t="shared" ref="AC71:AD71" si="5">SUM(AC60:AC70)</f>
        <v>4352</v>
      </c>
      <c r="AD71" s="219">
        <f t="shared" si="5"/>
        <v>32.969696969696969</v>
      </c>
    </row>
    <row r="72" spans="1:30" s="4" customFormat="1" ht="13.2" x14ac:dyDescent="0.25">
      <c r="L72" s="47"/>
      <c r="V72" s="47"/>
    </row>
    <row r="73" spans="1:30" ht="66" x14ac:dyDescent="0.3">
      <c r="A73" s="164">
        <v>44621</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2" t="s">
        <v>216</v>
      </c>
      <c r="F74" s="11"/>
      <c r="G74" s="11"/>
      <c r="H74" s="11"/>
      <c r="I74" s="11"/>
      <c r="J74" s="11"/>
      <c r="L74" s="11"/>
      <c r="M74" s="11"/>
      <c r="N74" s="11"/>
      <c r="O74" s="11"/>
      <c r="P74" s="11"/>
      <c r="Q74" s="11"/>
      <c r="R74" s="11"/>
      <c r="S74" s="11"/>
      <c r="T74" s="11"/>
      <c r="V74" s="11"/>
      <c r="W74" s="11"/>
      <c r="X74" s="11"/>
      <c r="Y74" s="11"/>
      <c r="Z74" s="11"/>
      <c r="AA74" s="11"/>
      <c r="AB74" s="169">
        <v>167</v>
      </c>
      <c r="AC74" s="169">
        <v>1522</v>
      </c>
      <c r="AD74" s="169">
        <f>+AC74/AB74</f>
        <v>9.1137724550898209</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9">
        <f>SUM(AB74:AB84)</f>
        <v>167</v>
      </c>
      <c r="AC85" s="219">
        <f t="shared" ref="AC85" si="6">SUM(AC74:AC84)</f>
        <v>1522</v>
      </c>
      <c r="AD85" s="219">
        <f t="shared" ref="AD85" si="7">SUM(AD74:AD84)</f>
        <v>9.1137724550898209</v>
      </c>
    </row>
    <row r="86" spans="1:30" s="4" customFormat="1" ht="13.2" x14ac:dyDescent="0.25">
      <c r="A86" s="52"/>
      <c r="L86" s="47"/>
      <c r="V86" s="47"/>
    </row>
    <row r="87" spans="1:30" ht="66" x14ac:dyDescent="0.3">
      <c r="A87" s="164">
        <v>43525</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2" t="s">
        <v>216</v>
      </c>
      <c r="F88" s="11"/>
      <c r="G88" s="11"/>
      <c r="H88" s="11"/>
      <c r="I88" s="11"/>
      <c r="J88" s="11"/>
      <c r="L88" s="11"/>
      <c r="M88" s="11"/>
      <c r="N88" s="11"/>
      <c r="O88" s="11"/>
      <c r="P88" s="11"/>
      <c r="Q88" s="11"/>
      <c r="R88" s="11"/>
      <c r="S88" s="11"/>
      <c r="T88" s="11"/>
      <c r="V88" s="11"/>
      <c r="W88" s="11"/>
      <c r="X88" s="11"/>
      <c r="Y88" s="11"/>
      <c r="Z88" s="11"/>
      <c r="AA88" s="11"/>
      <c r="AB88" s="169">
        <v>90</v>
      </c>
      <c r="AC88" s="169">
        <v>315</v>
      </c>
      <c r="AD88" s="169">
        <f>+AC88/AB88</f>
        <v>3.5</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5" t="s">
        <v>130</v>
      </c>
      <c r="C99" s="154"/>
      <c r="D99" s="98"/>
      <c r="E99" s="98"/>
      <c r="F99" s="93"/>
      <c r="G99" s="97" t="s">
        <v>132</v>
      </c>
      <c r="H99" s="93"/>
      <c r="I99" s="97" t="s">
        <v>132</v>
      </c>
      <c r="J99" s="97" t="s">
        <v>132</v>
      </c>
      <c r="L99" s="132"/>
      <c r="M99" s="143"/>
      <c r="N99" s="97" t="s">
        <v>132</v>
      </c>
      <c r="O99" s="93"/>
      <c r="P99" s="93"/>
      <c r="Q99" s="97" t="s">
        <v>132</v>
      </c>
      <c r="R99" s="93"/>
      <c r="S99" s="93"/>
      <c r="T99" s="97" t="s">
        <v>132</v>
      </c>
      <c r="V99" s="132"/>
      <c r="W99" s="132"/>
      <c r="X99" s="156" t="s">
        <v>132</v>
      </c>
      <c r="Y99" s="93"/>
      <c r="Z99" s="93"/>
      <c r="AA99" s="97" t="s">
        <v>132</v>
      </c>
      <c r="AB99" s="219">
        <f>SUM(AB88:AB98)</f>
        <v>90</v>
      </c>
      <c r="AC99" s="219">
        <f t="shared" ref="AC99" si="8">SUM(AC88:AC98)</f>
        <v>315</v>
      </c>
      <c r="AD99" s="219">
        <f t="shared" ref="AD99" si="9">SUM(AD88:AD98)</f>
        <v>3.5</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opLeftCell="H1" zoomScale="70" zoomScaleNormal="70" zoomScalePageLayoutView="60" workbookViewId="0">
      <selection activeCell="N20" sqref="N20"/>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5" t="s">
        <v>97</v>
      </c>
      <c r="W1" s="135"/>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7"/>
      <c r="C3" s="158"/>
      <c r="D3" s="158"/>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9"/>
      <c r="F4" s="159"/>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7"/>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4" t="s">
        <v>218</v>
      </c>
      <c r="I7" s="204" t="s">
        <v>218</v>
      </c>
      <c r="M7" s="204" t="s">
        <v>218</v>
      </c>
      <c r="N7" s="62"/>
      <c r="O7" s="62"/>
      <c r="P7" s="62"/>
      <c r="Q7" s="62"/>
      <c r="R7" s="62"/>
      <c r="S7" s="62"/>
      <c r="T7" s="62"/>
      <c r="V7" s="204"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7" t="s">
        <v>305</v>
      </c>
      <c r="B10" s="217"/>
      <c r="C10" s="217"/>
      <c r="D10" s="217"/>
      <c r="E10" s="217"/>
      <c r="F10" s="217"/>
      <c r="G10" s="217"/>
      <c r="I10" s="310" t="s">
        <v>330</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8" t="s">
        <v>131</v>
      </c>
      <c r="I15" s="47"/>
      <c r="M15" s="63"/>
      <c r="O15" s="62"/>
      <c r="P15" s="62"/>
      <c r="Q15" s="62"/>
      <c r="R15" s="62"/>
      <c r="S15" s="62"/>
      <c r="T15" s="118"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6" t="str">
        <f>'DPA''s, Fees'!A19</f>
        <v>Jackson Township MUA</v>
      </c>
      <c r="I16" s="47"/>
      <c r="J16" s="78"/>
      <c r="K16" s="118"/>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3" t="s">
        <v>216</v>
      </c>
      <c r="E18" s="11" t="s">
        <v>276</v>
      </c>
      <c r="F18" s="4" t="s">
        <v>272</v>
      </c>
      <c r="G18" s="8" t="s">
        <v>293</v>
      </c>
      <c r="I18" s="60">
        <v>1</v>
      </c>
      <c r="J18" s="45">
        <v>1</v>
      </c>
      <c r="K18" s="102">
        <v>0</v>
      </c>
      <c r="M18" s="222">
        <v>0</v>
      </c>
      <c r="N18" s="220">
        <v>13.8</v>
      </c>
      <c r="P18" s="107">
        <v>0</v>
      </c>
      <c r="Q18" s="221">
        <v>13.6</v>
      </c>
      <c r="S18" s="225">
        <v>0</v>
      </c>
      <c r="T18" s="221">
        <v>0</v>
      </c>
      <c r="V18" s="81" t="s">
        <v>296</v>
      </c>
      <c r="W18" s="8" t="s">
        <v>293</v>
      </c>
      <c r="X18" s="81" t="s">
        <v>272</v>
      </c>
      <c r="Y18" s="81" t="s">
        <v>272</v>
      </c>
      <c r="Z18" s="208"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3" t="s">
        <v>216</v>
      </c>
      <c r="E19" s="11" t="s">
        <v>277</v>
      </c>
      <c r="F19" s="11" t="s">
        <v>272</v>
      </c>
      <c r="G19" s="8" t="s">
        <v>298</v>
      </c>
      <c r="I19" s="223">
        <v>0</v>
      </c>
      <c r="J19" s="221">
        <v>0</v>
      </c>
      <c r="K19" s="224">
        <v>0</v>
      </c>
      <c r="M19" s="223">
        <v>20</v>
      </c>
      <c r="N19" s="220">
        <f>7000+36039.73</f>
        <v>43039.73</v>
      </c>
      <c r="P19" s="223">
        <v>0</v>
      </c>
      <c r="Q19" s="221">
        <v>0</v>
      </c>
      <c r="S19" s="223">
        <v>0</v>
      </c>
      <c r="T19" s="221">
        <v>0</v>
      </c>
      <c r="V19" s="81" t="s">
        <v>296</v>
      </c>
      <c r="W19" s="11" t="s">
        <v>277</v>
      </c>
      <c r="X19" s="81" t="s">
        <v>272</v>
      </c>
      <c r="Y19" s="81" t="s">
        <v>272</v>
      </c>
      <c r="Z19" s="208"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3" t="s">
        <v>216</v>
      </c>
      <c r="E20" s="11" t="s">
        <v>277</v>
      </c>
      <c r="F20" s="11" t="s">
        <v>272</v>
      </c>
      <c r="G20" s="8" t="s">
        <v>291</v>
      </c>
      <c r="I20" s="223">
        <v>68</v>
      </c>
      <c r="J20" s="221">
        <v>0</v>
      </c>
      <c r="K20" s="224">
        <v>0</v>
      </c>
      <c r="M20" s="223">
        <v>26</v>
      </c>
      <c r="N20" s="220">
        <v>4453.08</v>
      </c>
      <c r="P20" s="223">
        <v>0</v>
      </c>
      <c r="Q20" s="221">
        <v>0</v>
      </c>
      <c r="S20" s="223">
        <v>0</v>
      </c>
      <c r="T20" s="221">
        <v>0</v>
      </c>
      <c r="V20" s="81" t="s">
        <v>296</v>
      </c>
      <c r="W20" s="11" t="s">
        <v>277</v>
      </c>
      <c r="X20" s="81" t="s">
        <v>272</v>
      </c>
      <c r="Y20" s="81" t="s">
        <v>272</v>
      </c>
      <c r="Z20" s="208"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3" t="s">
        <v>216</v>
      </c>
      <c r="E21" s="11" t="s">
        <v>278</v>
      </c>
      <c r="F21" s="11" t="s">
        <v>272</v>
      </c>
      <c r="G21" s="8" t="s">
        <v>294</v>
      </c>
      <c r="I21" s="223">
        <v>1</v>
      </c>
      <c r="J21" s="221">
        <v>1</v>
      </c>
      <c r="K21" s="224">
        <v>1</v>
      </c>
      <c r="M21" s="223">
        <v>1</v>
      </c>
      <c r="N21" s="220">
        <v>250</v>
      </c>
      <c r="P21" s="223">
        <v>1</v>
      </c>
      <c r="Q21" s="221">
        <v>250</v>
      </c>
      <c r="S21" s="223">
        <v>1</v>
      </c>
      <c r="T21" s="221">
        <v>200</v>
      </c>
      <c r="V21" s="81" t="s">
        <v>296</v>
      </c>
      <c r="W21" s="81" t="s">
        <v>310</v>
      </c>
      <c r="X21" s="81" t="s">
        <v>272</v>
      </c>
      <c r="Y21" s="81" t="s">
        <v>272</v>
      </c>
      <c r="Z21" s="208"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8"/>
      <c r="B31" s="108"/>
      <c r="C31" s="108"/>
      <c r="D31" s="108"/>
      <c r="E31" s="11"/>
      <c r="F31" s="90"/>
      <c r="G31" s="8"/>
      <c r="I31" s="108"/>
      <c r="J31" s="108"/>
      <c r="K31" s="109"/>
      <c r="M31" s="108"/>
      <c r="N31" s="111"/>
      <c r="P31" s="108"/>
      <c r="Q31" s="112"/>
      <c r="S31" s="108"/>
      <c r="T31" s="112"/>
      <c r="V31" s="134"/>
      <c r="W31" s="134"/>
      <c r="X31" s="134"/>
      <c r="Y31" s="134"/>
      <c r="Z31" s="134"/>
      <c r="AA31" s="62"/>
      <c r="AB31" s="5"/>
      <c r="AC31" s="5"/>
      <c r="AD31" s="5"/>
      <c r="AE31" s="5"/>
      <c r="AF31" s="5"/>
      <c r="AG31" s="5"/>
      <c r="AH31" s="5"/>
      <c r="AI31" s="5"/>
      <c r="AJ31" s="5"/>
      <c r="AK31" s="5"/>
      <c r="AL31" s="5"/>
      <c r="AM31" s="5"/>
    </row>
    <row r="32" spans="1:39" s="4" customFormat="1" ht="15" thickBot="1" x14ac:dyDescent="0.35">
      <c r="A32" s="161" t="s">
        <v>130</v>
      </c>
      <c r="B32" s="162"/>
      <c r="C32" s="100"/>
      <c r="D32" s="100"/>
      <c r="E32" s="133"/>
      <c r="F32" s="132"/>
      <c r="G32" s="131"/>
      <c r="I32" s="161"/>
      <c r="J32" s="163"/>
      <c r="K32" s="110"/>
      <c r="M32" s="161"/>
      <c r="N32" s="156"/>
      <c r="P32" s="113"/>
      <c r="Q32" s="114"/>
      <c r="S32" s="113"/>
      <c r="T32" s="114"/>
      <c r="V32" s="160"/>
      <c r="W32" s="130"/>
      <c r="X32" s="130"/>
      <c r="Y32" s="130"/>
      <c r="Z32" s="129"/>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8" t="s">
        <v>218</v>
      </c>
      <c r="B6" s="199"/>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6"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5" customWidth="1"/>
    <col min="8" max="16384" width="8.88671875" style="115"/>
  </cols>
  <sheetData>
    <row r="1" spans="1:7" ht="14.4" thickBot="1" x14ac:dyDescent="0.35">
      <c r="A1" s="117"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6"/>
      <c r="B5" s="116"/>
      <c r="C5" s="116"/>
      <c r="D5" s="116"/>
      <c r="E5" s="116"/>
      <c r="F5" s="116"/>
      <c r="G5" s="116"/>
    </row>
    <row r="6" spans="1:7" x14ac:dyDescent="0.3">
      <c r="A6" s="117"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7"/>
      <c r="B4" s="137"/>
      <c r="C4" s="137"/>
      <c r="D4" s="137"/>
      <c r="E4" s="137"/>
      <c r="F4" s="137"/>
      <c r="G4" s="137"/>
      <c r="H4" s="137"/>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7" t="s">
        <v>264</v>
      </c>
      <c r="C46" s="195"/>
      <c r="D46" s="196"/>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7006097E-12CA-4FF8-9444-B9A3DEFD105F}">
  <ds:schemaRefs>
    <ds:schemaRef ds:uri="http://schemas.microsoft.com/DataMashup"/>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2023-09-14T15:02:23Z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