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ahamk\Desktop\"/>
    </mc:Choice>
  </mc:AlternateContent>
  <bookViews>
    <workbookView xWindow="0" yWindow="0" windowWidth="21570" windowHeight="8055" tabRatio="599"/>
  </bookViews>
  <sheets>
    <sheet name="Table 1" sheetId="35" r:id="rId1"/>
    <sheet name="Tables 2-6" sheetId="36" r:id="rId2"/>
    <sheet name="Table 7" sheetId="37" r:id="rId3"/>
    <sheet name="Ap A - Participant Def" sheetId="39" r:id="rId4"/>
    <sheet name="ACE" sheetId="31" r:id="rId5"/>
    <sheet name="Ap B - Qtr Electric Master" sheetId="27" r:id="rId6"/>
    <sheet name=" Ap C - Qtr Electric LMI" sheetId="29" r:id="rId7"/>
    <sheet name=" Ap D - Qtr Electric Business" sheetId="30" r:id="rId8"/>
    <sheet name="Ap E - NJ CEA Benchmarks" sheetId="40" r:id="rId9"/>
  </sheets>
  <definedNames>
    <definedName name="\B">#REF!</definedName>
    <definedName name="\C">#REF!</definedName>
    <definedName name="\D">#REF!</definedName>
    <definedName name="\E">#REF!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#REF!</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AAL1">#REF!</definedName>
    <definedName name="__DAT4">#REF!</definedName>
    <definedName name="__FPMExcelClient_CellBasedFunctionStatus" localSheetId="8" hidden="1">"2_2_2_2_2_2"</definedName>
    <definedName name="__FPMExcelClient_Connection" localSheetId="8">"_FPM_BPCNW10_[http://sapbppd1.fenetwork.com/sap/bpc/]_[FE_REVFCST]_[VOL_APPL]_[false]_[false]\1"</definedName>
    <definedName name="__Key2" hidden="1">#REF!</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ryr56565" hidden="1">{#N/A,#N/A,FALSE,"Monthly SAIFI";#N/A,#N/A,FALSE,"Yearly SAIFI";#N/A,#N/A,FALSE,"Monthly CAIDI";#N/A,#N/A,FALSE,"Yearly CAIDI";#N/A,#N/A,FALSE,"Monthly SAIDI";#N/A,#N/A,FALSE,"Yearly SAIDI";#N/A,#N/A,FALSE,"Monthly MAIFI";#N/A,#N/A,FALSE,"Yearly MAIFI";#N/A,#N/A,FALSE,"Monthly Cust &gt;=4 Int"}</definedName>
    <definedName name="__zc22">#REF!</definedName>
    <definedName name="_20_MWS">#REF!</definedName>
    <definedName name="_21_MWS">#REF!</definedName>
    <definedName name="_23_MWS">#REF!</definedName>
    <definedName name="_24_MWS">#REF!</definedName>
    <definedName name="_35_MWS">#REF!</definedName>
    <definedName name="_38_0_0_K" hidden="1">#REF!</definedName>
    <definedName name="_39_0_0_S" hidden="1">#REF!</definedName>
    <definedName name="_40_MWS">#REF!</definedName>
    <definedName name="_44_0_0_K" hidden="1">#REF!</definedName>
    <definedName name="_45_0_0_K" hidden="1">#REF!</definedName>
    <definedName name="_45_MWS">#REF!</definedName>
    <definedName name="_50_MWS">#REF!</definedName>
    <definedName name="_52_0_0_S" hidden="1">#REF!</definedName>
    <definedName name="_53_0_0_S" hidden="1">#REF!</definedName>
    <definedName name="_55_MWS">#REF!</definedName>
    <definedName name="_AAL1">#REF!</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Key1" hidden="1">#REF!</definedName>
    <definedName name="_Key2" hidden="1">#REF!</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WORLDOX">#REF!</definedName>
    <definedName name="a"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x"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#REF!</definedName>
    <definedName name="aircgrtm2">#REF!</definedName>
    <definedName name="aircgrtm3">#REF!</definedName>
    <definedName name="aircgrtm4">#REF!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L_SENS_FACT">#REF!</definedName>
    <definedName name="ALLYRS_MESSAGE">#REF!</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scount" hidden="1">1</definedName>
    <definedName name="APA">#REF!</definedName>
    <definedName name="Apr">#REF!</definedName>
    <definedName name="apr2pre">#REF!</definedName>
    <definedName name="April">#REF!</definedName>
    <definedName name="APV">#REF!</definedName>
    <definedName name="AS2DocOpenMode" hidden="1">"AS2DocumentEdit"</definedName>
    <definedName name="ASD">#REF!</definedName>
    <definedName name="asdada">#REF!</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fas">#REF!</definedName>
    <definedName name="asfasdfasfasfsadf">#REF!</definedName>
    <definedName name="asfsdfsdfsdfsfwer">#REF!</definedName>
    <definedName name="asfsdfsfs">#REF!</definedName>
    <definedName name="asfsft">#REF!</definedName>
    <definedName name="ashaita" hidden="1">{#N/A,#N/A,FALSE,"Monthly SAIFI";#N/A,#N/A,FALSE,"Yearly SAIFI";#N/A,#N/A,FALSE,"Monthly CAIDI";#N/A,#N/A,FALSE,"Yearly CAIDI";#N/A,#N/A,FALSE,"Monthly SAIDI";#N/A,#N/A,FALSE,"Yearly SAIDI";#N/A,#N/A,FALSE,"Monthly MAIFI";#N/A,#N/A,FALSE,"Yearly MAIFI";#N/A,#N/A,FALSE,"Monthly Cust &gt;=4 Int"}</definedName>
    <definedName name="ashia">#REF!</definedName>
    <definedName name="ashita">#REF!</definedName>
    <definedName name="asrada">#REF!</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hidden="1">{#N/A,#N/A,FALSE,"Monthly SAIFI";#N/A,#N/A,FALSE,"Yearly SAIFI";#N/A,#N/A,FALSE,"Monthly CAIDI";#N/A,#N/A,FALSE,"Yearly CAIDI";#N/A,#N/A,FALSE,"Monthly SAIDI";#N/A,#N/A,FALSE,"Yearly SAIDI";#N/A,#N/A,FALSE,"Monthly MAIFI";#N/A,#N/A,FALSE,"Yearly MAIFI";#N/A,#N/A,FALSE,"Monthly Cust &gt;=4 Int"}</definedName>
    <definedName name="Balance_Sheet">#REF!</definedName>
    <definedName name="Base">#REF!</definedName>
    <definedName name="BASE_MESSAGE">#REF!</definedName>
    <definedName name="BASE_SENS_FACT">#REF!</definedName>
    <definedName name="Baseline">#REF!</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#REF!</definedName>
    <definedName name="BGS_Forecast">#REF!</definedName>
    <definedName name="BGS_Rate">#REF!</definedName>
    <definedName name="BILLED_KWHs">#REF!</definedName>
    <definedName name="BILLED_KWHsNEW">#REF!</definedName>
    <definedName name="Brett0416">#REF!</definedName>
    <definedName name="Brett042">#REF!</definedName>
    <definedName name="brett0421">#REF!</definedName>
    <definedName name="Brett0423">#REF!</definedName>
    <definedName name="Brett0602">#REF!</definedName>
    <definedName name="Brett404">#REF!</definedName>
    <definedName name="Brett407">#REF!</definedName>
    <definedName name="Brett409">#REF!</definedName>
    <definedName name="Brett411">#REF!</definedName>
    <definedName name="Brett419">#REF!</definedName>
    <definedName name="bvvlhlkhjl">#REF!</definedName>
    <definedName name="C_">#REF!</definedName>
    <definedName name="CalculationComEd">#REF!</definedName>
    <definedName name="CalculationsC3">#REF!</definedName>
    <definedName name="CalculationsC4">#REF!</definedName>
    <definedName name="CalculationsC5">#REF!</definedName>
    <definedName name="CalculationsP3">#REF!</definedName>
    <definedName name="CalculationsP4">#REF!</definedName>
    <definedName name="CalculationsP5">#REF!</definedName>
    <definedName name="CalculationsP6">#REF!</definedName>
    <definedName name="Capital">#REF!</definedName>
    <definedName name="cbcvbcv" hidden="1">{#N/A,#N/A,FALSE,"Monthly SAIFI";#N/A,#N/A,FALSE,"Yearly SAIFI";#N/A,#N/A,FALSE,"Monthly CAIDI";#N/A,#N/A,FALSE,"Yearly CAIDI";#N/A,#N/A,FALSE,"Monthly SAIDI";#N/A,#N/A,FALSE,"Yearly SAIDI";#N/A,#N/A,FALSE,"Monthly MAIFI";#N/A,#N/A,FALSE,"Yearly MAIFI";#N/A,#N/A,FALSE,"Monthly Cust &gt;=4 Int"}</definedName>
    <definedName name="CBT">#REF!</definedName>
    <definedName name="CBWorkbookPriority" hidden="1">-250256570</definedName>
    <definedName name="ccbbcvbc" hidden="1">{#N/A,#N/A,FALSE,"Monthly SAIFI";#N/A,#N/A,FALSE,"Yearly SAIFI";#N/A,#N/A,FALSE,"Monthly CAIDI";#N/A,#N/A,FALSE,"Yearly CAIDI";#N/A,#N/A,FALSE,"Monthly SAIDI";#N/A,#N/A,FALSE,"Yearly SAIDI";#N/A,#N/A,FALSE,"Monthly MAIFI";#N/A,#N/A,FALSE,"Yearly MAIFI";#N/A,#N/A,FALSE,"Monthly Cust &gt;=4 Int"}</definedName>
    <definedName name="CEP">#REF!</definedName>
    <definedName name="ClaculationC">#REF!</definedName>
    <definedName name="ClaculationP">#REF!</definedName>
    <definedName name="ClaculationsC">#REF!</definedName>
    <definedName name="Class">#REF!</definedName>
    <definedName name="CLDR">#REF!</definedName>
    <definedName name="COMMONWEALTH_EDISON_COMPANY">#REF!</definedName>
    <definedName name="complex">#REF!</definedName>
    <definedName name="CONVERT_IT">#REF!</definedName>
    <definedName name="CONVERT_RTN">#REF!</definedName>
    <definedName name="CUR_SENS_FACT">#REF!</definedName>
    <definedName name="CURRENT_MESSAGE">#REF!</definedName>
    <definedName name="CurrentEndDate">#REF!</definedName>
    <definedName name="Curve_Date">#REF!</definedName>
    <definedName name="d" hidden="1">{#N/A,#N/A,TRUE,"TAXPROV";#N/A,#N/A,TRUE,"FLOWTHRU";#N/A,#N/A,TRUE,"SCHEDULE M'S";#N/A,#N/A,TRUE,"PLANT M'S";#N/A,#N/A,TRUE,"TAXJE"}</definedName>
    <definedName name="dadasdas">#REF!</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#REF!</definedName>
    <definedName name="DateNumberCurrentPrior">#REF!</definedName>
    <definedName name="DateNumberQtrPrior">#REF!</definedName>
    <definedName name="DateNumberYearEndPrior">#REF!</definedName>
    <definedName name="DateText">#REF!</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hidden="1">{#N/A,#N/A,FALSE,"Monthly SAIFI";#N/A,#N/A,FALSE,"Yearly SAIFI";#N/A,#N/A,FALSE,"Monthly CAIDI";#N/A,#N/A,FALSE,"Yearly CAIDI";#N/A,#N/A,FALSE,"Monthly SAIDI";#N/A,#N/A,FALSE,"Yearly SAIDI";#N/A,#N/A,FALSE,"Monthly MAIFI";#N/A,#N/A,FALSE,"Yearly MAIFI";#N/A,#N/A,FALSE,"Monthly Cust &gt;=4 Int"}</definedName>
    <definedName name="de">#REF!</definedName>
    <definedName name="Dec">#REF!</definedName>
    <definedName name="Decommissioning_Rate">#REF!</definedName>
    <definedName name="decpd">#REF!</definedName>
    <definedName name="DELAWARE">#REF!</definedName>
    <definedName name="deplr">#REF!</definedName>
    <definedName name="deytd">#REF!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P1875TB">#REF!</definedName>
    <definedName name="dpl">#REF!</definedName>
    <definedName name="dplcpd">#REF!</definedName>
    <definedName name="dplplr">#REF!</definedName>
    <definedName name="DPLYTD">#REF!</definedName>
    <definedName name="DR">#REF!</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E">#REF!</definedName>
    <definedName name="eaewq">#REF!</definedName>
    <definedName name="EASTERN">#REF!</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hidden="1">{#N/A,#N/A,TRUE,"TAXPROV";#N/A,#N/A,TRUE,"FLOWTHRU";#N/A,#N/A,TRUE,"SCHEDULE M'S";#N/A,#N/A,TRUE,"PLANT M'S";#N/A,#N/A,TRUE,"TAXJE"}</definedName>
    <definedName name="fafasfasf">#REF!</definedName>
    <definedName name="fasfsafasf">#REF!</definedName>
    <definedName name="fasfsdf">#REF!</definedName>
    <definedName name="FB_CUSTOMERS">#REF!</definedName>
    <definedName name="FB_LINES">#REF!</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RC.ICC">#REF!</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nal">#REF!</definedName>
    <definedName name="FinDate">#REF!</definedName>
    <definedName name="fjriesmd">#REF!</definedName>
    <definedName name="FORMULA">#REF!+#REF!+#REF!</definedName>
    <definedName name="Fossil_Divest">#REF!</definedName>
    <definedName name="fsafsfsaf">#REF!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hidden="1">{#N/A,#N/A,FALSE,"O&amp;M by processes";#N/A,#N/A,FALSE,"Elec Act vs Bud";#N/A,#N/A,FALSE,"G&amp;A";#N/A,#N/A,FALSE,"BGS";#N/A,#N/A,FALSE,"Res Cost"}</definedName>
    <definedName name="GAM83M">#REF!</definedName>
    <definedName name="gas">#REF!</definedName>
    <definedName name="gasytd">#REF!</definedName>
    <definedName name="gdfgdgdg">#REF!</definedName>
    <definedName name="GENERAL_HELP">#REF!</definedName>
    <definedName name="gfhfhfdhg">#REF!</definedName>
    <definedName name="gg" hidden="1">{#N/A,#N/A,FALSE,"O&amp;M by processes";#N/A,#N/A,FALSE,"Elec Act vs Bud";#N/A,#N/A,FALSE,"G&amp;A";#N/A,#N/A,FALSE,"BGS";#N/A,#N/A,FALSE,"Res Cost"}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hidden="1">{#N/A,#N/A,TRUE,"TAXPROV";#N/A,#N/A,TRUE,"FLOWTHRU";#N/A,#N/A,TRUE,"SCHEDULE M'S";#N/A,#N/A,TRUE,"PLANT M'S";#N/A,#N/A,TRUE,"TAXJE"}</definedName>
    <definedName name="GPURS">#REF!</definedName>
    <definedName name="GRAPH_SELECT">#REF!</definedName>
    <definedName name="GRAPH_TABLE">#REF!</definedName>
    <definedName name="GVKey">""</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#REF!</definedName>
    <definedName name="INCOME">#REF!</definedName>
    <definedName name="INSERTRANGE">#REF!</definedName>
    <definedName name="int.rate">#REF!</definedName>
    <definedName name="interest">#REF!</definedName>
    <definedName name="interestrate">#REF!</definedName>
    <definedName name="INTSALE">#REF!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Jan_03">#REF!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y_Stakeholder_Interface">#REF!</definedName>
    <definedName name="KeyE1" hidden="1">#REF!</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mcount" hidden="1">1</definedName>
    <definedName name="Line_No.">#REF!</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#REF!</definedName>
    <definedName name="mdytd">#REF!</definedName>
    <definedName name="Meet_Cost_Commitments">#REF!</definedName>
    <definedName name="Meet_Production_Commitments">#REF!</definedName>
    <definedName name="MILESTONES_1">#REF!</definedName>
    <definedName name="MILESTONES_2">#REF!</definedName>
    <definedName name="MONTH">#REF!</definedName>
    <definedName name="MonthlyCFBUD">#REF!</definedName>
    <definedName name="MonthlyCFLE">#REF!</definedName>
    <definedName name="MTC_Type">#REF!</definedName>
    <definedName name="NDCA">#REF!</definedName>
    <definedName name="New">#REF!</definedName>
    <definedName name="new_98_IS">#REF!,#REF!,#REF!</definedName>
    <definedName name="New_BS">#REF!,#REF!,#REF!</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ne">#REF!,#REF!,#REF!</definedName>
    <definedName name="ONM">#REF!</definedName>
    <definedName name="Operational_Excellence_">#REF!</definedName>
    <definedName name="Operational_Execution_And_Safety">#REF!</definedName>
    <definedName name="OPR">#REF!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CO_LABS_FUELS_ALL">#REF!</definedName>
    <definedName name="pension">#REF!</definedName>
    <definedName name="PER">#REF!</definedName>
    <definedName name="PGCOUNT">#REF!</definedName>
    <definedName name="PHASE_HELP">#REF!</definedName>
    <definedName name="PLACE_HOLD">#REF!</definedName>
    <definedName name="POTOMAC_ELECTRIC_POWER_COMPANY">#REF!</definedName>
    <definedName name="PowerTeam">#REF!</definedName>
    <definedName name="PPACOST">#REF!</definedName>
    <definedName name="Pri">#REF!</definedName>
    <definedName name="Print_98_IS">#REF!,#REF!,#REF!</definedName>
    <definedName name="_xlnm.Print_Area" localSheetId="6">' Ap C - Qtr Electric LMI'!$A$1:$I$29</definedName>
    <definedName name="_xlnm.Print_Area" localSheetId="7">' Ap D - Qtr Electric Business'!$A$1:$I$22</definedName>
    <definedName name="_xlnm.Print_Area" localSheetId="5">'Ap B - Qtr Electric Master'!$A$1:$R$43</definedName>
    <definedName name="_xlnm.Print_Area" localSheetId="8">'Ap E - NJ CEA Benchmarks'!$A$1:$O$17</definedName>
    <definedName name="Print_Area_MI">#REF!</definedName>
    <definedName name="print_area03">#REF!</definedName>
    <definedName name="Print_Area1">#REF!</definedName>
    <definedName name="Print_BS">#REF!,#REF!,#REF!</definedName>
    <definedName name="PRINT_SET_UP">#REF!</definedName>
    <definedName name="_xlnm.Print_Titles">#N/A</definedName>
    <definedName name="Prior">#REF!</definedName>
    <definedName name="PriorQTREnd">#REF!</definedName>
    <definedName name="Profitability_">#REF!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q">#REF!</definedName>
    <definedName name="QRE_HELP">#REF!</definedName>
    <definedName name="QRE_MARGINS">#REF!</definedName>
    <definedName name="qsqe">#REF!</definedName>
    <definedName name="QuarterEndDate">#REF!</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Reduction_Factor">#REF!</definedName>
    <definedName name="RBU">#REF!</definedName>
    <definedName name="reawreqw" hidden="1">{#N/A,#N/A,FALSE,"Monthly SAIFI";#N/A,#N/A,FALSE,"Yearly SAIFI";#N/A,#N/A,FALSE,"Monthly CAIDI";#N/A,#N/A,FALSE,"Yearly CAIDI";#N/A,#N/A,FALSE,"Monthly SAIDI";#N/A,#N/A,FALSE,"Yearly SAIDI";#N/A,#N/A,FALSE,"Monthly MAIFI";#N/A,#N/A,FALSE,"Yearly MAIFI";#N/A,#N/A,FALSE,"Monthly Cust &gt;=4 Int"}</definedName>
    <definedName name="REPORT_SELECT">#REF!</definedName>
    <definedName name="REPORT_TABLE">#REF!</definedName>
    <definedName name="RESALE_CUSTOMERS">#REF!</definedName>
    <definedName name="RESALE_LINES">#REF!</definedName>
    <definedName name="RESET_SENS_FACT">#REF!</definedName>
    <definedName name="RETURN">#REF!</definedName>
    <definedName name="RID">#REF!</definedName>
    <definedName name="ROA">#REF!</definedName>
    <definedName name="rwrw">#REF!</definedName>
    <definedName name="Safety_Workforce_Eff_">#REF!</definedName>
    <definedName name="safsafs">#REF!</definedName>
    <definedName name="safsfsad">#REF!</definedName>
    <definedName name="sangh">#REF!</definedName>
    <definedName name="sanghvi215">#REF!</definedName>
    <definedName name="sanghvi232">#REF!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U_SHEET_HELP">#REF!</definedName>
    <definedName name="sch.A">#REF!</definedName>
    <definedName name="sch.b._FERC_ICC">#REF!</definedName>
    <definedName name="SCHUYLKILL">#REF!</definedName>
    <definedName name="sdasda">#REF!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fsd">#REF!</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sf">#REF!</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dfdf">#REF!</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sdfsdf">#REF!</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sdsa">#REF!</definedName>
    <definedName name="SENS_DATA_RTN">#REF!</definedName>
    <definedName name="SENS_MESSAGE">#REF!</definedName>
    <definedName name="Sep">#REF!</definedName>
    <definedName name="SepNEW">#REF!</definedName>
    <definedName name="Sept">#REF!</definedName>
    <definedName name="SERP">#REF!</definedName>
    <definedName name="sf">#REF!</definedName>
    <definedName name="SFDD">#REF!</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D" hidden="1">{#N/A,#N/A,FALSE,"Monthly SAIFI";#N/A,#N/A,FALSE,"Yearly SAIFI";#N/A,#N/A,FALSE,"Monthly CAIDI";#N/A,#N/A,FALSE,"Yearly CAIDI";#N/A,#N/A,FALSE,"Monthly SAIDI";#N/A,#N/A,FALSE,"Yearly SAIDI";#N/A,#N/A,FALSE,"Monthly MAIFI";#N/A,#N/A,FALSE,"Yearly MAIFI";#N/A,#N/A,FALSE,"Monthly Cust &gt;=4 Int"}</definedName>
    <definedName name="sfsfsf">#REF!</definedName>
    <definedName name="sfsssr">#REF!</definedName>
    <definedName name="SFVD">#REF!</definedName>
    <definedName name="sgggggkjjkkj">#REF!</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#REF!</definedName>
    <definedName name="StartDate">#REF!</definedName>
    <definedName name="SUT">#REF!</definedName>
    <definedName name="Sx">#REF!</definedName>
    <definedName name="T">#REF!</definedName>
    <definedName name="TABLE">#REF!</definedName>
    <definedName name="TEFA">#REF!</definedName>
    <definedName name="TEST">#REF!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ee">#REF!</definedName>
    <definedName name="TWELVE">#REF!</definedName>
    <definedName name="two">#REF!,#REF!,#REF!</definedName>
    <definedName name="tyty" hidden="1">{#N/A,#N/A,FALSE,"Monthly SAIFI";#N/A,#N/A,FALSE,"Yearly SAIFI";#N/A,#N/A,FALSE,"Monthly CAIDI";#N/A,#N/A,FALSE,"Yearly CAIDI";#N/A,#N/A,FALSE,"Monthly SAIDI";#N/A,#N/A,FALSE,"Yearly SAIDI";#N/A,#N/A,FALSE,"Monthly MAIFI";#N/A,#N/A,FALSE,"Yearly MAIFI";#N/A,#N/A,FALSE,"Monthly Cust &gt;=4 Int"}</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plr">#REF!</definedName>
    <definedName name="vaytd">#REF!</definedName>
    <definedName name="vcbcvbcv" hidden="1">{#N/A,#N/A,FALSE,"Monthly SAIFI";#N/A,#N/A,FALSE,"Yearly SAIFI";#N/A,#N/A,FALSE,"Monthly CAIDI";#N/A,#N/A,FALSE,"Yearly CAIDI";#N/A,#N/A,FALSE,"Monthly SAIDI";#N/A,#N/A,FALSE,"Yearly SAIDI";#N/A,#N/A,FALSE,"Monthly MAIFI";#N/A,#N/A,FALSE,"Yearly MAIFI";#N/A,#N/A,FALSE,"Monthly Cust &gt;=4 Int"}</definedName>
    <definedName name="wearwerawer">#REF!</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hidden="1">{#N/A,#N/A,FALSE,"O&amp;M by processes";#N/A,#N/A,FALSE,"Elec Act vs Bud";#N/A,#N/A,FALSE,"G&amp;A";#N/A,#N/A,FALSE,"BGS";#N/A,#N/A,FALSE,"Res Cost"}</definedName>
    <definedName name="what09" hidden="1">{#N/A,#N/A,FALSE,"O&amp;M by processes";#N/A,#N/A,FALSE,"Elec Act vs Bud";#N/A,#N/A,FALSE,"G&amp;A";#N/A,#N/A,FALSE,"BGS";#N/A,#N/A,FALSE,"Res Cost"}</definedName>
    <definedName name="Whatwhat"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hidden="1">{#N/A,#N/A,FALSE,"Aging Summary";#N/A,#N/A,FALSE,"Ratio Analysis";#N/A,#N/A,FALSE,"Test 120 Day Accts";#N/A,#N/A,FALSE,"Tickmarks"}</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hidden="1">{"2002 Scedule A Revenue Proof",#N/A,FALSE,"Schedule A";"2002 Rate Detail",#N/A,FALSE,"Schedule B";"2002 Light Rates Page 1",#N/A,FALSE,"Schedule B";"2002 Light Rates Page 2",#N/A,FALSE,"Schedule B";"Schedule C",#N/A,FALSE,"Schedule C"}</definedName>
    <definedName name="wrn.Basic." hidden="1">{#N/A,#N/A,FALSE,"O&amp;M by processes";#N/A,#N/A,FALSE,"Elec Act vs Bud";#N/A,#N/A,FALSE,"G&amp;A";#N/A,#N/A,FALSE,"BGS";#N/A,#N/A,FALSE,"Res Cost"}</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5" hidden="1">{"COVER",#N/A,FALSE,"COVERPMT";"COMPANY ORDER",#N/A,FALSE,"COVERPMT";"EXHIBIT A",#N/A,FALSE,"COVERPMT"}</definedName>
    <definedName name="wrn.FUEL._.SCHEDULE." localSheetId="8" hidden="1">{"COVER",#N/A,FALSE,"COVERPMT";"COMPANY ORDER",#N/A,FALSE,"COVERPMT";"EXHIBIT A",#N/A,FALSE,"COVERPMT"}</definedName>
    <definedName name="wrn.FUEL._.SCHEDULE." hidden="1">{"COVER",#N/A,FALSE,"COVERPMT";"COMPANY ORDER",#N/A,FALSE,"COVERPMT";"EXHIBIT A",#N/A,FALSE,"COVERPMT"}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hidden="1">{#N/A,#N/A,FALSE,"R&amp;D Quick Calc";#N/A,#N/A,FALSE,"DOE Fee Schedule"}</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hidden="1">{"Assumptions",#N/A,FALSE,"Assumptions";"2003 - 2007 Summary",#N/A,FALSE,"Income Statement";"Summary Deferral Forecast",#N/A,FALSE,"Deferral Forecast"}</definedName>
    <definedName name="wrn.tax._._Accrual09" hidden="1">{#N/A,#N/A,TRUE,"TAXPROV";#N/A,#N/A,TRUE,"FLOWTHRU";#N/A,#N/A,TRUE,"SCHEDULE M'S";#N/A,#N/A,TRUE,"PLANT M'S";#N/A,#N/A,TRUE,"TAXJE"}</definedName>
    <definedName name="wrn.Tax._.Accrual." hidden="1">{#N/A,#N/A,TRUE,"TAXPROV";#N/A,#N/A,TRUE,"FLOWTHRU";#N/A,#N/A,TRUE,"SCHEDULE M'S";#N/A,#N/A,TRUE,"PLANT M'S";#N/A,#N/A,TRUE,"TAXJE"}</definedName>
    <definedName name="wrn.TBC._.Update." hidden="1">{#N/A,#N/A,FALSE,"TABLE I";#N/A,#N/A,FALSE,"TBC Development";#N/A,#N/A,FALSE,"MTC -Tax Development";#N/A,#N/A,FALSE,"MTC - Tax descriptions";#N/A,#N/A,FALSE,"MTC -Tax True Up"}</definedName>
    <definedName name="xcvxvx">#REF!</definedName>
    <definedName name="xvxvxzvxc">#REF!</definedName>
    <definedName name="xzczczczxc">#REF!</definedName>
    <definedName name="y" hidden="1">{#N/A,#N/A,FALSE,"Monthly SAIFI";#N/A,#N/A,FALSE,"Yearly SAIFI";#N/A,#N/A,FALSE,"Monthly CAIDI";#N/A,#N/A,FALSE,"Yearly CAIDI";#N/A,#N/A,FALSE,"Monthly SAIDI";#N/A,#N/A,FALSE,"Yearly SAIDI";#N/A,#N/A,FALSE,"Monthly MAIFI";#N/A,#N/A,FALSE,"Yearly MAIFI";#N/A,#N/A,FALSE,"Monthly Cust &gt;=4 Int"}</definedName>
    <definedName name="Year">#REF!</definedName>
    <definedName name="Year4BGS">#REF!</definedName>
    <definedName name="YesNo">#REF!</definedName>
    <definedName name="YORK_COUNTY">#REF!</definedName>
    <definedName name="yryryrr" hidden="1">{#N/A,#N/A,FALSE,"Monthly SAIFI";#N/A,#N/A,FALSE,"Yearly SAIFI";#N/A,#N/A,FALSE,"Monthly CAIDI";#N/A,#N/A,FALSE,"Yearly CAIDI";#N/A,#N/A,FALSE,"Monthly SAIDI";#N/A,#N/A,FALSE,"Yearly SAIDI";#N/A,#N/A,FALSE,"Monthly MAIFI";#N/A,#N/A,FALSE,"Yearly MAIFI";#N/A,#N/A,FALSE,"Monthly Cust &gt;=4 Int"}</definedName>
    <definedName name="YTDCFLE">#REF!</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6" hidden="1">#REF!</definedName>
    <definedName name="Z_E3A30FBC_675D_4AD8_9B2D_12956792A138_.wvu.Rows" localSheetId="7" hidden="1">#REF!</definedName>
    <definedName name="Z_E3A30FBC_675D_4AD8_9B2D_12956792A138_.wvu.Rows" localSheetId="5"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40" l="1"/>
  <c r="N12" i="40" s="1"/>
  <c r="G12" i="40"/>
  <c r="G11" i="40"/>
  <c r="G10" i="40"/>
  <c r="G9" i="40"/>
  <c r="H21" i="30"/>
  <c r="F21" i="30"/>
  <c r="L20" i="30"/>
  <c r="O18" i="30"/>
  <c r="N18" i="30"/>
  <c r="M18" i="30"/>
  <c r="L18" i="30"/>
  <c r="K18" i="30"/>
  <c r="K20" i="30" s="1"/>
  <c r="J18" i="30"/>
  <c r="J20" i="30" s="1"/>
  <c r="B9" i="36" s="1"/>
  <c r="E9" i="36" s="1"/>
  <c r="N15" i="30"/>
  <c r="N14" i="30"/>
  <c r="AB12" i="30"/>
  <c r="AA12" i="30"/>
  <c r="Z12" i="30"/>
  <c r="M12" i="30"/>
  <c r="M20" i="30" s="1"/>
  <c r="L12" i="30"/>
  <c r="K12" i="30"/>
  <c r="J12" i="30"/>
  <c r="I12" i="30"/>
  <c r="I21" i="30" s="1"/>
  <c r="H12" i="30"/>
  <c r="G12" i="30"/>
  <c r="G21" i="30" s="1"/>
  <c r="F12" i="30"/>
  <c r="E12" i="30"/>
  <c r="E21" i="30" s="1"/>
  <c r="D12" i="30"/>
  <c r="D21" i="30" s="1"/>
  <c r="AB11" i="30"/>
  <c r="AA11" i="30"/>
  <c r="Z11" i="30"/>
  <c r="AB10" i="30"/>
  <c r="AA10" i="30"/>
  <c r="Z10" i="30"/>
  <c r="O10" i="30"/>
  <c r="N10" i="30"/>
  <c r="AB9" i="30"/>
  <c r="AA9" i="30"/>
  <c r="Z9" i="30"/>
  <c r="O11" i="30" s="1"/>
  <c r="O9" i="30"/>
  <c r="N9" i="30"/>
  <c r="AB8" i="30"/>
  <c r="AA8" i="30"/>
  <c r="Z8" i="30"/>
  <c r="N8" i="30"/>
  <c r="AB7" i="30"/>
  <c r="AA7" i="30"/>
  <c r="Z7" i="30"/>
  <c r="O15" i="30" s="1"/>
  <c r="G25" i="29"/>
  <c r="I23" i="29"/>
  <c r="I25" i="29" s="1"/>
  <c r="H23" i="29"/>
  <c r="H25" i="29" s="1"/>
  <c r="G23" i="29"/>
  <c r="F23" i="29"/>
  <c r="F25" i="29" s="1"/>
  <c r="E23" i="29"/>
  <c r="E25" i="29" s="1"/>
  <c r="D23" i="29"/>
  <c r="I19" i="29"/>
  <c r="H19" i="29"/>
  <c r="G19" i="29"/>
  <c r="F19" i="29"/>
  <c r="E19" i="29"/>
  <c r="D19" i="29"/>
  <c r="I15" i="29"/>
  <c r="G15" i="29"/>
  <c r="F15" i="29"/>
  <c r="E15" i="29"/>
  <c r="H13" i="29"/>
  <c r="H15" i="29" s="1"/>
  <c r="D13" i="29"/>
  <c r="D15" i="29" s="1"/>
  <c r="D25" i="29" s="1"/>
  <c r="S39" i="27"/>
  <c r="E39" i="27"/>
  <c r="K38" i="27"/>
  <c r="S36" i="27"/>
  <c r="R36" i="27"/>
  <c r="Q36" i="27"/>
  <c r="Q39" i="27" s="1"/>
  <c r="P36" i="27"/>
  <c r="N36" i="27"/>
  <c r="M36" i="27"/>
  <c r="M39" i="27" s="1"/>
  <c r="J4" i="36" s="1"/>
  <c r="L36" i="27"/>
  <c r="L39" i="27" s="1"/>
  <c r="B4" i="35" s="1"/>
  <c r="J36" i="27"/>
  <c r="J39" i="27" s="1"/>
  <c r="I36" i="27"/>
  <c r="I39" i="27" s="1"/>
  <c r="H36" i="27"/>
  <c r="F36" i="27"/>
  <c r="E36" i="27"/>
  <c r="D36" i="27"/>
  <c r="S32" i="27"/>
  <c r="R32" i="27"/>
  <c r="Q32" i="27"/>
  <c r="N32" i="27"/>
  <c r="O32" i="27" s="1"/>
  <c r="L32" i="27"/>
  <c r="K32" i="27"/>
  <c r="G32" i="27"/>
  <c r="F32" i="27"/>
  <c r="D32" i="27"/>
  <c r="D39" i="27" s="1"/>
  <c r="P31" i="27"/>
  <c r="P30" i="27"/>
  <c r="P29" i="27"/>
  <c r="P28" i="27"/>
  <c r="P32" i="27" s="1"/>
  <c r="S26" i="27"/>
  <c r="R26" i="27"/>
  <c r="Q26" i="27"/>
  <c r="N26" i="27"/>
  <c r="O26" i="27" s="1"/>
  <c r="M26" i="27"/>
  <c r="L26" i="27"/>
  <c r="J26" i="27"/>
  <c r="K26" i="27" s="1"/>
  <c r="I26" i="27"/>
  <c r="H26" i="27"/>
  <c r="H39" i="27" s="1"/>
  <c r="F26" i="27"/>
  <c r="G26" i="27" s="1"/>
  <c r="E26" i="27"/>
  <c r="D26" i="27"/>
  <c r="P25" i="27"/>
  <c r="O25" i="27"/>
  <c r="K25" i="27"/>
  <c r="P24" i="27"/>
  <c r="O24" i="27"/>
  <c r="K24" i="27"/>
  <c r="G24" i="27"/>
  <c r="P23" i="27"/>
  <c r="O23" i="27"/>
  <c r="K23" i="27"/>
  <c r="G23" i="27"/>
  <c r="P22" i="27"/>
  <c r="P26" i="27" s="1"/>
  <c r="O22" i="27"/>
  <c r="K22" i="27"/>
  <c r="G22" i="27"/>
  <c r="S19" i="27"/>
  <c r="Q19" i="27"/>
  <c r="M19" i="27"/>
  <c r="I19" i="27"/>
  <c r="H19" i="27"/>
  <c r="E19" i="27"/>
  <c r="P18" i="27"/>
  <c r="P17" i="27"/>
  <c r="O17" i="27"/>
  <c r="K17" i="27"/>
  <c r="G17" i="27"/>
  <c r="P16" i="27"/>
  <c r="O16" i="27"/>
  <c r="K16" i="27"/>
  <c r="G16" i="27"/>
  <c r="P15" i="27"/>
  <c r="O15" i="27"/>
  <c r="K15" i="27"/>
  <c r="G15" i="27"/>
  <c r="S14" i="27"/>
  <c r="R14" i="27"/>
  <c r="R19" i="27" s="1"/>
  <c r="Q14" i="27"/>
  <c r="N14" i="27"/>
  <c r="O14" i="27" s="1"/>
  <c r="L14" i="27"/>
  <c r="L19" i="27" s="1"/>
  <c r="B39" i="36" s="1"/>
  <c r="B42" i="36" s="1"/>
  <c r="B44" i="36" s="1"/>
  <c r="K14" i="27"/>
  <c r="J14" i="27"/>
  <c r="J19" i="27" s="1"/>
  <c r="H14" i="27"/>
  <c r="F14" i="27"/>
  <c r="G14" i="27" s="1"/>
  <c r="D14" i="27"/>
  <c r="D19" i="27" s="1"/>
  <c r="B18" i="36" s="1"/>
  <c r="B21" i="36" s="1"/>
  <c r="B23" i="36" s="1"/>
  <c r="P13" i="27"/>
  <c r="P12" i="27"/>
  <c r="P10" i="27"/>
  <c r="P9" i="27"/>
  <c r="P8" i="27"/>
  <c r="H25" i="31"/>
  <c r="F25" i="31"/>
  <c r="I24" i="31"/>
  <c r="H24" i="31"/>
  <c r="F24" i="31"/>
  <c r="E24" i="31"/>
  <c r="H23" i="31"/>
  <c r="F23" i="31"/>
  <c r="K22" i="31"/>
  <c r="J22" i="31"/>
  <c r="I22" i="31"/>
  <c r="G22" i="31"/>
  <c r="E22" i="31"/>
  <c r="K21" i="31"/>
  <c r="J21" i="31"/>
  <c r="I21" i="31"/>
  <c r="G21" i="31"/>
  <c r="E21" i="31"/>
  <c r="K20" i="31"/>
  <c r="J20" i="31"/>
  <c r="I20" i="31"/>
  <c r="G20" i="31"/>
  <c r="E20" i="31"/>
  <c r="K19" i="31"/>
  <c r="J19" i="31"/>
  <c r="I19" i="31"/>
  <c r="G19" i="31"/>
  <c r="E19" i="31"/>
  <c r="K18" i="31"/>
  <c r="J18" i="31"/>
  <c r="I18" i="31"/>
  <c r="H18" i="31"/>
  <c r="G18" i="31"/>
  <c r="F18" i="31"/>
  <c r="E18" i="31"/>
  <c r="K17" i="31"/>
  <c r="J17" i="31"/>
  <c r="I17" i="31"/>
  <c r="H17" i="31"/>
  <c r="G17" i="31"/>
  <c r="F17" i="31"/>
  <c r="E17" i="31"/>
  <c r="K16" i="31"/>
  <c r="J16" i="31"/>
  <c r="I16" i="31"/>
  <c r="H16" i="31"/>
  <c r="G16" i="31"/>
  <c r="F16" i="31"/>
  <c r="E16" i="31"/>
  <c r="K15" i="31"/>
  <c r="J15" i="31"/>
  <c r="I15" i="31"/>
  <c r="H15" i="31"/>
  <c r="F15" i="31"/>
  <c r="E15" i="31"/>
  <c r="K14" i="31"/>
  <c r="J14" i="31"/>
  <c r="I14" i="31"/>
  <c r="H14" i="31"/>
  <c r="G14" i="31"/>
  <c r="F14" i="31"/>
  <c r="E14" i="31"/>
  <c r="K13" i="31"/>
  <c r="J13" i="31"/>
  <c r="I13" i="31"/>
  <c r="H13" i="31"/>
  <c r="G13" i="31"/>
  <c r="F13" i="31"/>
  <c r="E13" i="31"/>
  <c r="K12" i="31"/>
  <c r="J12" i="31"/>
  <c r="I12" i="31"/>
  <c r="H12" i="31"/>
  <c r="G12" i="31"/>
  <c r="F12" i="31"/>
  <c r="E12" i="31"/>
  <c r="K11" i="31"/>
  <c r="J11" i="31"/>
  <c r="I11" i="31"/>
  <c r="H11" i="31"/>
  <c r="G11" i="31"/>
  <c r="F11" i="31"/>
  <c r="E11" i="31"/>
  <c r="F10" i="31"/>
  <c r="K9" i="31"/>
  <c r="J9" i="31"/>
  <c r="I9" i="31"/>
  <c r="H9" i="31"/>
  <c r="G9" i="31"/>
  <c r="E9" i="31"/>
  <c r="K8" i="31"/>
  <c r="J8" i="31"/>
  <c r="I8" i="31"/>
  <c r="H8" i="31"/>
  <c r="G8" i="31"/>
  <c r="E8" i="31"/>
  <c r="H7" i="31"/>
  <c r="E7" i="31"/>
  <c r="K6" i="31"/>
  <c r="J6" i="31"/>
  <c r="I6" i="31"/>
  <c r="H6" i="31"/>
  <c r="E6" i="31"/>
  <c r="K5" i="31"/>
  <c r="J5" i="31"/>
  <c r="I5" i="31"/>
  <c r="H5" i="31"/>
  <c r="E5" i="31"/>
  <c r="K4" i="31"/>
  <c r="J4" i="31"/>
  <c r="I4" i="31"/>
  <c r="H4" i="31"/>
  <c r="G4" i="31"/>
  <c r="E4" i="31"/>
  <c r="I75" i="37"/>
  <c r="H75" i="37"/>
  <c r="J75" i="37" s="1"/>
  <c r="G75" i="37"/>
  <c r="F75" i="37"/>
  <c r="E75" i="37"/>
  <c r="I74" i="37"/>
  <c r="H74" i="37"/>
  <c r="J74" i="37" s="1"/>
  <c r="F74" i="37"/>
  <c r="E74" i="37"/>
  <c r="G74" i="37" s="1"/>
  <c r="I73" i="37"/>
  <c r="H73" i="37"/>
  <c r="J73" i="37" s="1"/>
  <c r="G73" i="37"/>
  <c r="F73" i="37"/>
  <c r="E73" i="37"/>
  <c r="J72" i="37"/>
  <c r="G72" i="37"/>
  <c r="J71" i="37"/>
  <c r="G71" i="37"/>
  <c r="J70" i="37"/>
  <c r="G70" i="37"/>
  <c r="J69" i="37"/>
  <c r="G69" i="37"/>
  <c r="J68" i="37"/>
  <c r="G68" i="37"/>
  <c r="J67" i="37"/>
  <c r="G67" i="37"/>
  <c r="J66" i="37"/>
  <c r="G66" i="37"/>
  <c r="J65" i="37"/>
  <c r="G65" i="37"/>
  <c r="J64" i="37"/>
  <c r="G64" i="37"/>
  <c r="J63" i="37"/>
  <c r="G63" i="37"/>
  <c r="J62" i="37"/>
  <c r="G62" i="37"/>
  <c r="J61" i="37"/>
  <c r="G61" i="37"/>
  <c r="J60" i="37"/>
  <c r="G60" i="37"/>
  <c r="J59" i="37"/>
  <c r="G59" i="37"/>
  <c r="J58" i="37"/>
  <c r="G58" i="37"/>
  <c r="J57" i="37"/>
  <c r="G57" i="37"/>
  <c r="J56" i="37"/>
  <c r="G56" i="37"/>
  <c r="J55" i="37"/>
  <c r="G55" i="37"/>
  <c r="I53" i="37"/>
  <c r="H53" i="37"/>
  <c r="J53" i="37" s="1"/>
  <c r="F53" i="37"/>
  <c r="G53" i="37" s="1"/>
  <c r="E53" i="37"/>
  <c r="I52" i="37"/>
  <c r="H52" i="37"/>
  <c r="J52" i="37" s="1"/>
  <c r="G52" i="37"/>
  <c r="F52" i="37"/>
  <c r="E52" i="37"/>
  <c r="J51" i="37"/>
  <c r="I51" i="37"/>
  <c r="H51" i="37"/>
  <c r="F51" i="37"/>
  <c r="E51" i="37"/>
  <c r="G51" i="37" s="1"/>
  <c r="J50" i="37"/>
  <c r="G50" i="37"/>
  <c r="J49" i="37"/>
  <c r="G49" i="37"/>
  <c r="J48" i="37"/>
  <c r="G48" i="37"/>
  <c r="J47" i="37"/>
  <c r="G47" i="37"/>
  <c r="J46" i="37"/>
  <c r="G46" i="37"/>
  <c r="J45" i="37"/>
  <c r="G45" i="37"/>
  <c r="J44" i="37"/>
  <c r="G44" i="37"/>
  <c r="J43" i="37"/>
  <c r="G43" i="37"/>
  <c r="J42" i="37"/>
  <c r="G42" i="37"/>
  <c r="J41" i="37"/>
  <c r="G41" i="37"/>
  <c r="J40" i="37"/>
  <c r="G40" i="37"/>
  <c r="J39" i="37"/>
  <c r="G39" i="37"/>
  <c r="J38" i="37"/>
  <c r="G38" i="37"/>
  <c r="J37" i="37"/>
  <c r="G37" i="37"/>
  <c r="J36" i="37"/>
  <c r="G36" i="37"/>
  <c r="J35" i="37"/>
  <c r="G35" i="37"/>
  <c r="J34" i="37"/>
  <c r="G34" i="37"/>
  <c r="J33" i="37"/>
  <c r="G33" i="37"/>
  <c r="I31" i="37"/>
  <c r="H31" i="37"/>
  <c r="J31" i="37" s="1"/>
  <c r="G31" i="37"/>
  <c r="F31" i="37"/>
  <c r="E31" i="37"/>
  <c r="J30" i="37"/>
  <c r="I30" i="37"/>
  <c r="H30" i="37"/>
  <c r="F30" i="37"/>
  <c r="E30" i="37"/>
  <c r="G30" i="37" s="1"/>
  <c r="I29" i="37"/>
  <c r="H29" i="37"/>
  <c r="J29" i="37" s="1"/>
  <c r="F29" i="37"/>
  <c r="E29" i="37"/>
  <c r="G29" i="37" s="1"/>
  <c r="J28" i="37"/>
  <c r="G28" i="37"/>
  <c r="J27" i="37"/>
  <c r="G27" i="37"/>
  <c r="J26" i="37"/>
  <c r="G26" i="37"/>
  <c r="J25" i="37"/>
  <c r="G25" i="37"/>
  <c r="J24" i="37"/>
  <c r="G24" i="37"/>
  <c r="J23" i="37"/>
  <c r="G23" i="37"/>
  <c r="J22" i="37"/>
  <c r="G22" i="37"/>
  <c r="J21" i="37"/>
  <c r="G21" i="37"/>
  <c r="J20" i="37"/>
  <c r="G20" i="37"/>
  <c r="J19" i="37"/>
  <c r="G19" i="37"/>
  <c r="J18" i="37"/>
  <c r="G18" i="37"/>
  <c r="J17" i="37"/>
  <c r="G17" i="37"/>
  <c r="J16" i="37"/>
  <c r="G16" i="37"/>
  <c r="J15" i="37"/>
  <c r="G15" i="37"/>
  <c r="J14" i="37"/>
  <c r="G14" i="37"/>
  <c r="J13" i="37"/>
  <c r="G13" i="37"/>
  <c r="J12" i="37"/>
  <c r="G12" i="37"/>
  <c r="J11" i="37"/>
  <c r="G11" i="37"/>
  <c r="E7" i="37"/>
  <c r="E6" i="37"/>
  <c r="E5" i="37"/>
  <c r="D57" i="36"/>
  <c r="C57" i="36"/>
  <c r="E57" i="36" s="1"/>
  <c r="E56" i="36"/>
  <c r="E55" i="36"/>
  <c r="E54" i="36"/>
  <c r="E53" i="36"/>
  <c r="E52" i="36"/>
  <c r="E51" i="36"/>
  <c r="E50" i="36"/>
  <c r="C49" i="36"/>
  <c r="E49" i="36" s="1"/>
  <c r="B49" i="36"/>
  <c r="B57" i="36" s="1"/>
  <c r="D41" i="36"/>
  <c r="C41" i="36"/>
  <c r="E41" i="36" s="1"/>
  <c r="B41" i="36"/>
  <c r="D40" i="36"/>
  <c r="D42" i="36" s="1"/>
  <c r="D44" i="36" s="1"/>
  <c r="C40" i="36"/>
  <c r="B40" i="36"/>
  <c r="D39" i="36"/>
  <c r="E33" i="36"/>
  <c r="D31" i="36"/>
  <c r="C31" i="36"/>
  <c r="E31" i="36" s="1"/>
  <c r="B31" i="36"/>
  <c r="D30" i="36"/>
  <c r="C30" i="36"/>
  <c r="E30" i="36" s="1"/>
  <c r="B30" i="36"/>
  <c r="B32" i="36" s="1"/>
  <c r="B34" i="36" s="1"/>
  <c r="D29" i="36"/>
  <c r="D32" i="36" s="1"/>
  <c r="D34" i="36" s="1"/>
  <c r="B29" i="36"/>
  <c r="E22" i="36"/>
  <c r="D21" i="36"/>
  <c r="D23" i="36" s="1"/>
  <c r="D20" i="36"/>
  <c r="C20" i="36"/>
  <c r="E20" i="36" s="1"/>
  <c r="B20" i="36"/>
  <c r="D19" i="36"/>
  <c r="E19" i="36" s="1"/>
  <c r="C19" i="36"/>
  <c r="B19" i="36"/>
  <c r="D18" i="36"/>
  <c r="B10" i="36"/>
  <c r="E10" i="36" s="1"/>
  <c r="I9" i="36"/>
  <c r="F9" i="36"/>
  <c r="G8" i="36"/>
  <c r="I8" i="36" s="1"/>
  <c r="F8" i="36"/>
  <c r="E8" i="36"/>
  <c r="C8" i="36"/>
  <c r="B8" i="36"/>
  <c r="H7" i="36"/>
  <c r="D7" i="36"/>
  <c r="H6" i="36"/>
  <c r="G6" i="36"/>
  <c r="D6" i="36"/>
  <c r="C6" i="36"/>
  <c r="H5" i="36"/>
  <c r="F5" i="36"/>
  <c r="I5" i="36" s="1"/>
  <c r="D5" i="36"/>
  <c r="D4" i="36"/>
  <c r="G5" i="35"/>
  <c r="F5" i="35"/>
  <c r="H5" i="35" s="1"/>
  <c r="D5" i="35"/>
  <c r="H4" i="36" s="1"/>
  <c r="C5" i="35"/>
  <c r="D4" i="35"/>
  <c r="C4" i="35"/>
  <c r="B4" i="36" l="1"/>
  <c r="E4" i="36" s="1"/>
  <c r="K4" i="36" s="1"/>
  <c r="E4" i="35"/>
  <c r="N39" i="27"/>
  <c r="O12" i="30"/>
  <c r="P39" i="27"/>
  <c r="F39" i="27"/>
  <c r="G39" i="27" s="1"/>
  <c r="F7" i="36"/>
  <c r="I7" i="36" s="1"/>
  <c r="B7" i="36"/>
  <c r="E7" i="36" s="1"/>
  <c r="K39" i="27"/>
  <c r="K19" i="27"/>
  <c r="C29" i="36"/>
  <c r="R39" i="27"/>
  <c r="B5" i="36" s="1"/>
  <c r="O20" i="30"/>
  <c r="E40" i="36"/>
  <c r="F19" i="27"/>
  <c r="N19" i="27"/>
  <c r="O14" i="30"/>
  <c r="J12" i="40"/>
  <c r="P14" i="27"/>
  <c r="P19" i="27" s="1"/>
  <c r="N11" i="30"/>
  <c r="N12" i="30" s="1"/>
  <c r="N20" i="30" s="1"/>
  <c r="L12" i="40"/>
  <c r="E5" i="36" l="1"/>
  <c r="B6" i="36"/>
  <c r="E6" i="36" s="1"/>
  <c r="C32" i="36"/>
  <c r="E29" i="36"/>
  <c r="O39" i="27"/>
  <c r="B5" i="35"/>
  <c r="O19" i="27"/>
  <c r="C39" i="36"/>
  <c r="G19" i="27"/>
  <c r="C18" i="36"/>
  <c r="F4" i="36" l="1"/>
  <c r="E5" i="35"/>
  <c r="I5" i="35" s="1"/>
  <c r="C34" i="36"/>
  <c r="E34" i="36" s="1"/>
  <c r="E32" i="36"/>
  <c r="N3" i="36" s="1"/>
  <c r="C42" i="36"/>
  <c r="E39" i="36"/>
  <c r="C21" i="36"/>
  <c r="E18" i="36"/>
  <c r="E42" i="36" l="1"/>
  <c r="C44" i="36"/>
  <c r="E44" i="36" s="1"/>
  <c r="M3" i="36" s="1"/>
  <c r="E21" i="36"/>
  <c r="C23" i="36"/>
  <c r="E23" i="36" s="1"/>
  <c r="I4" i="36"/>
  <c r="F6" i="36"/>
  <c r="I6" i="36" s="1"/>
</calcChain>
</file>

<file path=xl/sharedStrings.xml><?xml version="1.0" encoding="utf-8"?>
<sst xmlns="http://schemas.openxmlformats.org/spreadsheetml/2006/main" count="721" uniqueCount="289">
  <si>
    <t>Utility-Administered Programs ex-ante energy savings 
(MWh)</t>
  </si>
  <si>
    <t>Comfort Partners ex-ante energy savings  (MWh)</t>
  </si>
  <si>
    <r>
      <t>Other Programs ex-ante energy savings  (MWh)</t>
    </r>
    <r>
      <rPr>
        <vertAlign val="superscript"/>
        <sz val="9"/>
        <color rgb="FFFFFFFF"/>
        <rFont val="Calibri"/>
        <family val="2"/>
        <scheme val="minor"/>
      </rPr>
      <t>1</t>
    </r>
  </si>
  <si>
    <t>Total ex-ante energy savings 
(MWh)</t>
  </si>
  <si>
    <t>Annual Target
 (%)</t>
  </si>
  <si>
    <t>Annual Target 
(MWh)</t>
  </si>
  <si>
    <t xml:space="preserve">Percent of Annual Target 
(%) </t>
  </si>
  <si>
    <t>(A)</t>
  </si>
  <si>
    <t>(B)</t>
  </si>
  <si>
    <t xml:space="preserve">(C) </t>
  </si>
  <si>
    <t xml:space="preserve">(D) = (A)+(B)+(C) </t>
  </si>
  <si>
    <t>(E)</t>
  </si>
  <si>
    <t>(F)</t>
  </si>
  <si>
    <t>(G) = (E)*(F)</t>
  </si>
  <si>
    <t>(H) = (D) / (G)</t>
  </si>
  <si>
    <t>Quarter</t>
  </si>
  <si>
    <t>YTD</t>
  </si>
  <si>
    <t>Table 2 – Quantitative Performance Indicators</t>
  </si>
  <si>
    <t>Annual Energy Savings</t>
  </si>
  <si>
    <t>Expenditures</t>
  </si>
  <si>
    <t>Year to Date</t>
  </si>
  <si>
    <t>Utility-Administered Plan Year Results</t>
  </si>
  <si>
    <t>Comfort Partners Plan Year Results</t>
  </si>
  <si>
    <t>Other Programs Plan Year Results</t>
  </si>
  <si>
    <t>Total Plan Year Results</t>
  </si>
  <si>
    <t>Utility-Administered Plan Year Results YTD</t>
  </si>
  <si>
    <t>Comfort Partners Plan Year Results YTD</t>
  </si>
  <si>
    <t>Other Programs Plan Year Results YTD</t>
  </si>
  <si>
    <r>
      <t>Annual Target</t>
    </r>
    <r>
      <rPr>
        <vertAlign val="superscript"/>
        <sz val="9"/>
        <color rgb="FFFFFFFF"/>
        <rFont val="Calibri"/>
        <family val="2"/>
        <scheme val="minor"/>
      </rPr>
      <t>1</t>
    </r>
  </si>
  <si>
    <t>Percent of Annual Target Achieved</t>
  </si>
  <si>
    <t>Annual Energy Savings (MWh)</t>
  </si>
  <si>
    <t>Lifetime Savings (MWh)</t>
  </si>
  <si>
    <t>Annual Demand Savings (MW)</t>
  </si>
  <si>
    <r>
      <t>Lifetime Persisting Demand Savings (MW-year)</t>
    </r>
    <r>
      <rPr>
        <vertAlign val="superscript"/>
        <sz val="11"/>
        <color theme="1"/>
        <rFont val="Calibri"/>
        <family val="2"/>
        <scheme val="minor"/>
      </rPr>
      <t>2</t>
    </r>
  </si>
  <si>
    <t>Low/Moderate-Income Lifetime Savings (MWh)</t>
  </si>
  <si>
    <t>Small Commercial Lifetime Savings (MWh)</t>
  </si>
  <si>
    <r>
      <t>Net Present Value of Utility Cost Test Net Benefits ($)</t>
    </r>
    <r>
      <rPr>
        <vertAlign val="superscript"/>
        <sz val="11"/>
        <color theme="1"/>
        <rFont val="Calibri"/>
        <family val="2"/>
        <scheme val="minor"/>
      </rPr>
      <t>3</t>
    </r>
  </si>
  <si>
    <t>Table 3 – Sector-Level Participation</t>
  </si>
  <si>
    <r>
      <t>Sector</t>
    </r>
    <r>
      <rPr>
        <vertAlign val="superscript"/>
        <sz val="9"/>
        <color indexed="9"/>
        <rFont val="Calibri"/>
        <family val="2"/>
        <scheme val="minor"/>
      </rPr>
      <t>1</t>
    </r>
  </si>
  <si>
    <t>Quarter Participants</t>
  </si>
  <si>
    <t>YTD Participants</t>
  </si>
  <si>
    <t>Annual Forecasted Participants</t>
  </si>
  <si>
    <t>Percent of Annual Forecast</t>
  </si>
  <si>
    <t>Residential</t>
  </si>
  <si>
    <t>Multifamily</t>
  </si>
  <si>
    <r>
      <t>C&amp;I</t>
    </r>
    <r>
      <rPr>
        <vertAlign val="superscript"/>
        <sz val="11"/>
        <color theme="1"/>
        <rFont val="Calibri"/>
        <family val="2"/>
        <scheme val="minor"/>
      </rPr>
      <t>2</t>
    </r>
  </si>
  <si>
    <t>Reported Totals for Utility Administered Programs</t>
  </si>
  <si>
    <r>
      <t>Comfort Partners</t>
    </r>
    <r>
      <rPr>
        <vertAlign val="superscript"/>
        <sz val="11"/>
        <color theme="1"/>
        <rFont val="Calibri"/>
        <family val="2"/>
        <scheme val="minor"/>
      </rPr>
      <t>3</t>
    </r>
  </si>
  <si>
    <t>Utility Total</t>
  </si>
  <si>
    <r>
      <rPr>
        <vertAlign val="superscript"/>
        <sz val="9"/>
        <color theme="1"/>
        <rFont val="Times New Roman"/>
        <family val="1"/>
      </rPr>
      <t>1</t>
    </r>
    <r>
      <rPr>
        <sz val="9"/>
        <color theme="1"/>
        <rFont val="Times New Roman"/>
        <family val="1"/>
      </rPr>
      <t xml:space="preserve"> Note that these numbers are totals across all programs within a sector.  The appendix shows the participation numbers for individual programs.  Participation from merger-funded programming is not omitted from these values.
</t>
    </r>
    <r>
      <rPr>
        <vertAlign val="superscript"/>
        <sz val="9"/>
        <color theme="1"/>
        <rFont val="Times New Roman"/>
        <family val="1"/>
      </rPr>
      <t xml:space="preserve">2 </t>
    </r>
    <r>
      <rPr>
        <sz val="9"/>
        <color theme="1"/>
        <rFont val="Times New Roman"/>
        <family val="1"/>
      </rPr>
      <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t>
    </r>
    <r>
      <rPr>
        <vertAlign val="superscript"/>
        <sz val="9"/>
        <color theme="1"/>
        <rFont val="Times New Roman"/>
        <family val="1"/>
      </rPr>
      <t xml:space="preserve">3 </t>
    </r>
    <r>
      <rPr>
        <sz val="9"/>
        <color theme="1"/>
        <rFont val="Times New Roman"/>
        <family val="1"/>
      </rPr>
      <t>Comfort Partners, the primary program serving low-income customers, is co-managed by the BPU’s Division of Clean Energy in conjunction with ACE and the other investor-owned electric and gas utility companies.</t>
    </r>
  </si>
  <si>
    <t>Table 4 – Sector-Level Expenditures</t>
  </si>
  <si>
    <r>
      <t>Expenditures</t>
    </r>
    <r>
      <rPr>
        <vertAlign val="superscript"/>
        <sz val="9"/>
        <color indexed="9"/>
        <rFont val="Calibri"/>
        <family val="2"/>
        <scheme val="minor"/>
      </rPr>
      <t>1</t>
    </r>
  </si>
  <si>
    <t>Quarter Expenditures ($000)</t>
  </si>
  <si>
    <t>YTD Expenditures ($000)</t>
  </si>
  <si>
    <t>Annual Budget Expenditures ($000)</t>
  </si>
  <si>
    <t>Percent of Annual Budget</t>
  </si>
  <si>
    <t>C&amp;I</t>
  </si>
  <si>
    <t>Comfort Partners</t>
  </si>
  <si>
    <t>Table 5 – Sector-Level Energy Savings</t>
  </si>
  <si>
    <r>
      <t>Annual Energy Savings</t>
    </r>
    <r>
      <rPr>
        <vertAlign val="superscript"/>
        <sz val="9"/>
        <color indexed="9"/>
        <rFont val="Calibri"/>
        <family val="2"/>
        <scheme val="minor"/>
      </rPr>
      <t>1</t>
    </r>
  </si>
  <si>
    <t>Quarter Retail (MWh)</t>
  </si>
  <si>
    <t>YTD Retail (MWh)</t>
  </si>
  <si>
    <t>Annual Target Retail Savings (MWh)</t>
  </si>
  <si>
    <t>Percent of Annual Target</t>
  </si>
  <si>
    <t>N/A</t>
  </si>
  <si>
    <t>Table 6 – Annual Costs and Budget Variances by Category</t>
  </si>
  <si>
    <r>
      <t>Total Utility EE/PDR</t>
    </r>
    <r>
      <rPr>
        <vertAlign val="superscript"/>
        <sz val="9"/>
        <color rgb="FFFFFFFF"/>
        <rFont val="Calibri"/>
        <family val="2"/>
        <scheme val="minor"/>
      </rPr>
      <t>1</t>
    </r>
  </si>
  <si>
    <t>Quarter Reported ($000)</t>
  </si>
  <si>
    <t>YTD Reported ($000)</t>
  </si>
  <si>
    <t>Full Year Budget ($000)</t>
  </si>
  <si>
    <r>
      <t>Percent of Annual Budget Spent</t>
    </r>
    <r>
      <rPr>
        <vertAlign val="superscript"/>
        <sz val="9"/>
        <color rgb="FFFFFFFF"/>
        <rFont val="Calibri"/>
        <family val="2"/>
        <scheme val="minor"/>
      </rPr>
      <t>2</t>
    </r>
  </si>
  <si>
    <t>Capital Costs</t>
  </si>
  <si>
    <t>Utility Administration</t>
  </si>
  <si>
    <t>Marketing</t>
  </si>
  <si>
    <t>Outside Services</t>
  </si>
  <si>
    <t>Rebates</t>
  </si>
  <si>
    <t>No- or Low-Interest Loans</t>
  </si>
  <si>
    <t>Evaluation, Measurement &amp; Verification ("EM&amp;V")</t>
  </si>
  <si>
    <t>Inspections &amp; Quality Control</t>
  </si>
  <si>
    <t>Table 7 – Equity Performance</t>
  </si>
  <si>
    <t>Territory-Level Benchmarks</t>
  </si>
  <si>
    <r>
      <t>Overburdened</t>
    </r>
    <r>
      <rPr>
        <vertAlign val="superscript"/>
        <sz val="9"/>
        <color indexed="9"/>
        <rFont val="Calibri"/>
        <family val="2"/>
        <scheme val="minor"/>
      </rPr>
      <t>1</t>
    </r>
  </si>
  <si>
    <t>Non-Overburdened</t>
  </si>
  <si>
    <r>
      <t>%OBC</t>
    </r>
    <r>
      <rPr>
        <vertAlign val="superscript"/>
        <sz val="9"/>
        <color rgb="FFFFFFFF"/>
        <rFont val="Calibri"/>
        <family val="2"/>
        <scheme val="minor"/>
      </rPr>
      <t>2</t>
    </r>
  </si>
  <si>
    <t>Population</t>
  </si>
  <si>
    <t># of Household Accounts</t>
  </si>
  <si>
    <t>Total Annual Energy (MWh)</t>
  </si>
  <si>
    <t>Programs</t>
  </si>
  <si>
    <t>Sub Program or Offering</t>
  </si>
  <si>
    <t>Type of Program/Offering</t>
  </si>
  <si>
    <r>
      <t>Quarter Overburdened</t>
    </r>
    <r>
      <rPr>
        <vertAlign val="superscript"/>
        <sz val="9"/>
        <color indexed="9"/>
        <rFont val="Calibri"/>
        <family val="2"/>
        <scheme val="minor"/>
      </rPr>
      <t>1</t>
    </r>
  </si>
  <si>
    <t>Quarter Non-Overburdened</t>
  </si>
  <si>
    <r>
      <t>Annual Overburdened</t>
    </r>
    <r>
      <rPr>
        <vertAlign val="superscript"/>
        <sz val="9"/>
        <color indexed="9"/>
        <rFont val="Calibri"/>
        <family val="2"/>
        <scheme val="minor"/>
      </rPr>
      <t>1</t>
    </r>
  </si>
  <si>
    <t>Annual Non-Overburdened</t>
  </si>
  <si>
    <t>Participants</t>
  </si>
  <si>
    <t>Residential - Efficient Products</t>
  </si>
  <si>
    <t>HVAC</t>
  </si>
  <si>
    <t>Core</t>
  </si>
  <si>
    <t>Appliance Rebates</t>
  </si>
  <si>
    <t>Appliance Recycling</t>
  </si>
  <si>
    <t>Online Marketplace</t>
  </si>
  <si>
    <t>Food Banks</t>
  </si>
  <si>
    <t>Others - Lighting</t>
  </si>
  <si>
    <t>TBD</t>
  </si>
  <si>
    <t>Residential - Existing Homes</t>
  </si>
  <si>
    <t>Home Performance with Energy Star</t>
  </si>
  <si>
    <t>Quick Home Energy Check-Up</t>
  </si>
  <si>
    <t>Additional</t>
  </si>
  <si>
    <t>Moderate Income Weatherization</t>
  </si>
  <si>
    <t>Res - Home Energy Education &amp; Management</t>
  </si>
  <si>
    <t>Behavioral</t>
  </si>
  <si>
    <t>C&amp;I Direct Install</t>
  </si>
  <si>
    <t>Direct Install</t>
  </si>
  <si>
    <t>Energy Solutions for Business</t>
  </si>
  <si>
    <t>Prescriptive/Custom</t>
  </si>
  <si>
    <t>Energy Management</t>
  </si>
  <si>
    <t>Engineered Solutions</t>
  </si>
  <si>
    <t>Multi-Family</t>
  </si>
  <si>
    <t>Total Core Participation</t>
  </si>
  <si>
    <t>Total Additional Participation</t>
  </si>
  <si>
    <t>Total Participation</t>
  </si>
  <si>
    <t>Efficient Products</t>
  </si>
  <si>
    <t>Existing Homes</t>
  </si>
  <si>
    <t>Home Energy Education &amp; Management</t>
  </si>
  <si>
    <t>Total Core Annual Energy Savings</t>
  </si>
  <si>
    <t>Total Additional Annual Energy Savings</t>
  </si>
  <si>
    <t>Total Annual Energy Savings</t>
  </si>
  <si>
    <t>Lifetime Energy Savings (MWh)</t>
  </si>
  <si>
    <t>Total Core Lifetime Energy Savings</t>
  </si>
  <si>
    <t>Total Additional Lifetime Energy Savings</t>
  </si>
  <si>
    <t>Total Lifetime Energy Savings</t>
  </si>
  <si>
    <t>1 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2 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t>
  </si>
  <si>
    <t>Portfolio Total</t>
  </si>
  <si>
    <t>Other Programs</t>
  </si>
  <si>
    <t xml:space="preserve">In Word document only </t>
  </si>
  <si>
    <t>Reporting Period</t>
  </si>
  <si>
    <t>FY23-Q2</t>
  </si>
  <si>
    <t>Program/Utility Information</t>
  </si>
  <si>
    <r>
      <t xml:space="preserve">Budget &amp; Expenses </t>
    </r>
    <r>
      <rPr>
        <b/>
        <sz val="11"/>
        <color theme="1"/>
        <rFont val="Calibri"/>
        <family val="2"/>
        <scheme val="minor"/>
      </rPr>
      <t>($000)</t>
    </r>
  </si>
  <si>
    <t>Energy Savings</t>
  </si>
  <si>
    <t>Utility</t>
  </si>
  <si>
    <t>Sector</t>
  </si>
  <si>
    <t>Program</t>
  </si>
  <si>
    <t>Sub-Program</t>
  </si>
  <si>
    <t>YTD Reported Participation Number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</si>
  <si>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</si>
  <si>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</si>
  <si>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</si>
  <si>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</si>
  <si>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</si>
  <si>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</si>
  <si>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</si>
  <si>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</si>
  <si>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ACE</t>
  </si>
  <si>
    <t>HPwES</t>
  </si>
  <si>
    <t>Commercial</t>
  </si>
  <si>
    <t>Supportive costs outside portfolio</t>
  </si>
  <si>
    <t>Energy Efficiency and PDR Savings Summary</t>
  </si>
  <si>
    <t>For Period Ending PY23Q2</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</si>
  <si>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</si>
  <si>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</si>
  <si>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</si>
  <si>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</si>
  <si>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</si>
  <si>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</si>
  <si>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</si>
  <si>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</si>
  <si>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</si>
  <si>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</si>
  <si>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</si>
  <si>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</si>
  <si>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</si>
  <si>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</si>
  <si>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</si>
  <si>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</si>
  <si>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</si>
  <si>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</si>
  <si>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</si>
  <si>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</si>
  <si>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Annual Forecasted Participation Number</t>
  </si>
  <si>
    <t>YTD % of Annual Participants</t>
  </si>
  <si>
    <t>Quarter ($000)</t>
  </si>
  <si>
    <r>
      <t xml:space="preserve">Annual Forecasted Program Costs ($000) </t>
    </r>
    <r>
      <rPr>
        <vertAlign val="superscript"/>
        <sz val="9"/>
        <color rgb="FFFFFFFF"/>
        <rFont val="Calibri"/>
        <family val="2"/>
        <scheme val="minor"/>
      </rPr>
      <t>2</t>
    </r>
  </si>
  <si>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</si>
  <si>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</si>
  <si>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</si>
  <si>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</si>
  <si>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</si>
  <si>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</si>
  <si>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</si>
  <si>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</si>
  <si>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</si>
  <si>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</si>
  <si>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Residential Programs</t>
  </si>
  <si>
    <r>
      <t>Sub Program or Category</t>
    </r>
    <r>
      <rPr>
        <b/>
        <vertAlign val="superscript"/>
        <sz val="11"/>
        <color theme="1"/>
        <rFont val="Calibri"/>
        <family val="2"/>
        <scheme val="minor"/>
      </rPr>
      <t>1</t>
    </r>
  </si>
  <si>
    <t>Efficient Products*</t>
  </si>
  <si>
    <t xml:space="preserve"> N/A </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</si>
  <si>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</si>
  <si>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</si>
  <si>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</si>
  <si>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</si>
  <si>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 xml:space="preserve">-   </t>
  </si>
  <si>
    <t xml:space="preserve"> $-   </t>
  </si>
  <si>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</si>
  <si>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</si>
  <si>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</si>
  <si>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</si>
  <si>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</si>
  <si>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</si>
  <si>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</si>
  <si>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</si>
  <si>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Home Optimization &amp; Peak Demand Reduction</t>
  </si>
  <si>
    <t>Total Other</t>
  </si>
  <si>
    <t>Supportive Costs Outside Portfolio</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</si>
  <si>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</si>
  <si>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</si>
  <si>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</si>
  <si>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</si>
  <si>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</si>
  <si>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</si>
  <si>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D</t>
  </si>
  <si>
    <t>YTD Reported Incentive Costs ($000)</t>
  </si>
  <si>
    <t>YTD Reported Retail Energy Savings (MWh)</t>
  </si>
  <si>
    <t>Sub Program</t>
  </si>
  <si>
    <t>LMI</t>
  </si>
  <si>
    <t>Non-LMI or Unverified</t>
  </si>
  <si>
    <t>Others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</si>
  <si>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</si>
  <si>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</si>
  <si>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</si>
  <si>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NONE</t>
  </si>
  <si>
    <r>
      <rPr>
        <vertAlign val="superscript"/>
        <sz val="11"/>
        <rFont val="Times New Roman"/>
        <family val="1"/>
      </rPr>
      <t>1</t>
    </r>
    <r>
      <rPr>
        <sz val="11"/>
        <rFont val="Times New Roman"/>
        <family val="1"/>
      </rPr>
      <t xml:space="preserve"> Income-qualified customers are directed to participate through the Comfort Partners or Moderate Income Weatherization programs.</t>
    </r>
  </si>
  <si>
    <t>H</t>
  </si>
  <si>
    <t>L</t>
  </si>
  <si>
    <t>Reported Lifetime Retail Energy Savings Current Quarter (MWh)</t>
  </si>
  <si>
    <t>Reported Lifetime Retail Energy Savings YTD (MWh)</t>
  </si>
  <si>
    <t>Reported Lifetime Wholesale Energy Savings Current Quarter (MWh)</t>
  </si>
  <si>
    <t>Count</t>
  </si>
  <si>
    <t>Sub-Programs</t>
  </si>
  <si>
    <t>Weighted Electric Losses - Energy</t>
  </si>
  <si>
    <t>Weighted Electric Losses - Demand</t>
  </si>
  <si>
    <t>Weighted Natural Gas Losses</t>
  </si>
  <si>
    <t>Small Commercial</t>
  </si>
  <si>
    <t>Large Commercial</t>
  </si>
  <si>
    <t>MF</t>
  </si>
  <si>
    <t>Energy Solutions for Business: Prescriptive and Custom</t>
  </si>
  <si>
    <t xml:space="preserve">Energy Solutions for Business: Engineered Solutions </t>
  </si>
  <si>
    <t xml:space="preserve">Direct Install </t>
  </si>
  <si>
    <t xml:space="preserve">Energy Solutions for Business: Energy Management </t>
  </si>
  <si>
    <t>Portfolio</t>
  </si>
  <si>
    <t>Portfolio Costs</t>
  </si>
  <si>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</si>
  <si>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</si>
  <si>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</si>
  <si>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</si>
  <si>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</si>
  <si>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</si>
  <si>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</si>
  <si>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</si>
  <si>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</si>
  <si>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</si>
  <si>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</si>
  <si>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</si>
  <si>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</si>
  <si>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</si>
  <si>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</si>
  <si>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</si>
  <si>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</si>
  <si>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</si>
  <si>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</si>
  <si>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</si>
  <si>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</si>
  <si>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</si>
  <si>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t>7/1/19 - 6/30/20</t>
  </si>
  <si>
    <t>7/1/20 - 6/30/21</t>
  </si>
  <si>
    <t>7/1/21 - 6/30/22</t>
  </si>
  <si>
    <t>Notes:</t>
  </si>
  <si>
    <t>(A) Includes sales as reported on FERC Form-1, as adjusted for the given sales period (planning year)</t>
  </si>
  <si>
    <t>(B) No included adjustments</t>
  </si>
  <si>
    <t>(E,G,I) No formal targets were established for PY22 in the June 2020 CEA Framework Order</t>
  </si>
  <si>
    <t>Plan Year 2023</t>
  </si>
  <si>
    <t>7/1/22 - 6/30/23</t>
  </si>
  <si>
    <r>
      <rPr>
        <vertAlign val="superscript"/>
        <sz val="9"/>
        <color rgb="FF000000"/>
        <rFont val="Times New Roman"/>
        <family val="2"/>
      </rPr>
      <t xml:space="preserve">1 </t>
    </r>
    <r>
      <rPr>
        <sz val="9"/>
        <color rgb="FF000000"/>
        <rFont val="Times New Roman"/>
        <family val="2"/>
      </rPr>
      <t>Annal energy savings represent the total expected annual savings from all energy efficiency measures within each sector and includes savings from merger-funded programs.</t>
    </r>
  </si>
  <si>
    <r>
      <rPr>
        <vertAlign val="superscript"/>
        <sz val="9"/>
        <color rgb="FF000000"/>
        <rFont val="Times New Roman"/>
        <family val="2"/>
      </rPr>
      <t xml:space="preserve">1 </t>
    </r>
    <r>
      <rPr>
        <sz val="9"/>
        <color rgb="FF000000"/>
        <rFont val="Times New Roman"/>
        <family val="2"/>
      </rPr>
      <t>Expenditures include rebates, incentives, and loans, as well as program administration costs allocated across programs.  Expenditures from merger-funded programming and Supportive Costs Outside Portfolio are omitted from these values.</t>
    </r>
  </si>
  <si>
    <r>
      <rPr>
        <vertAlign val="superscript"/>
        <sz val="9"/>
        <color rgb="FF000000"/>
        <rFont val="Times New Roman"/>
        <family val="1"/>
      </rPr>
      <t>1</t>
    </r>
    <r>
      <rPr>
        <sz val="9"/>
        <color rgb="FF000000"/>
        <rFont val="Times New Roman"/>
        <family val="1"/>
      </rPr>
      <t xml:space="preserve"> Annual Targets reflect estimated impacts as filed the Company's 2021-2024 Clean Energy Filing
</t>
    </r>
    <r>
      <rPr>
        <vertAlign val="superscript"/>
        <sz val="9"/>
        <color rgb="FF000000"/>
        <rFont val="Times New Roman"/>
        <family val="1"/>
      </rPr>
      <t xml:space="preserve">
</t>
    </r>
  </si>
  <si>
    <r>
      <rPr>
        <vertAlign val="superscript"/>
        <sz val="9"/>
        <color rgb="FF000000"/>
        <rFont val="Times New Roman"/>
        <family val="1"/>
      </rPr>
      <t>1</t>
    </r>
    <r>
      <rPr>
        <sz val="9"/>
        <color rgb="FF000000"/>
        <rFont val="Times New Roman"/>
        <family val="1"/>
      </rPr>
      <t xml:space="preserve"> Categories herein align to ACE’s EE plan as approved by the Board.
</t>
    </r>
    <r>
      <rPr>
        <vertAlign val="superscript"/>
        <sz val="9"/>
        <color rgb="FF000000"/>
        <rFont val="Times New Roman"/>
        <family val="1"/>
      </rPr>
      <t xml:space="preserve">2 </t>
    </r>
    <r>
      <rPr>
        <sz val="9"/>
        <color rgb="FF000000"/>
        <rFont val="Times New Roman"/>
        <family val="1"/>
      </rPr>
      <t>While annual budgets are used for informational purposes, the portfolio is managed to a total not-to-exceed amount established by cost category for the full triennial program cycle.</t>
    </r>
  </si>
  <si>
    <r>
      <rPr>
        <sz val="9"/>
        <color rgb="FFFFFFFF"/>
        <rFont val="Calibri"/>
        <family val="2"/>
      </rPr>
      <t>Compliance Baseline  (MWh)</t>
    </r>
    <r>
      <rPr>
        <vertAlign val="superscript"/>
        <sz val="9"/>
        <color rgb="FFFFFFFF"/>
        <rFont val="Calibri"/>
        <family val="2"/>
      </rPr>
      <t>2</t>
    </r>
  </si>
  <si>
    <r>
      <rPr>
        <vertAlign val="superscript"/>
        <sz val="9"/>
        <color theme="1"/>
        <rFont val="Times New Roman"/>
        <family val="1"/>
      </rPr>
      <t>1</t>
    </r>
    <r>
      <rPr>
        <sz val="9"/>
        <color theme="1"/>
        <rFont val="Times New Roman"/>
        <family val="1"/>
      </rPr>
      <t xml:space="preserve"> Other Programs include merger/legacy-committed EE programs – QHEC and Behavior. 
</t>
    </r>
    <r>
      <rPr>
        <vertAlign val="superscript"/>
        <sz val="9"/>
        <color theme="1"/>
        <rFont val="Times New Roman"/>
        <family val="1"/>
      </rPr>
      <t xml:space="preserve">2 </t>
    </r>
    <r>
      <rPr>
        <sz val="9"/>
        <color theme="1"/>
        <rFont val="Times New Roman"/>
        <family val="1"/>
      </rPr>
      <t>Includes sales as reported on FERC Form-1, as adjusted for the given sales period (planning year).</t>
    </r>
  </si>
  <si>
    <t># of Business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</si>
</sst>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
    <numFmt numFmtId="169" formatCode="0.0"/>
    <numFmt numFmtId="170" formatCode="0.000"/>
    <numFmt numFmtId="171" formatCode="_(* #,##0.000_);_(* \(#,##0.000\);_(* &quot;-&quot;???_);_(@_)"/>
  </numFmts>
  <fonts count="49">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sz val="11"/>
      <name val="Calibri"/>
      <family val="2"/>
    </font>
    <font>
      <vertAlign val="superscript"/>
      <sz val="9"/>
      <color indexed="9"/>
      <name val="Calibri"/>
      <family val="2"/>
      <scheme val="minor"/>
    </font>
    <font>
      <sz val="11"/>
      <color theme="0"/>
      <name val="Calibri"/>
      <family val="2"/>
      <scheme val="minor"/>
    </font>
    <font>
      <strike/>
      <sz val="11"/>
      <color theme="1"/>
      <name val="Calibri"/>
      <family val="2"/>
      <scheme val="minor"/>
    </font>
    <font>
      <sz val="11"/>
      <name val="Arial Black"/>
      <family val="2"/>
    </font>
    <font>
      <u/>
      <sz val="16"/>
      <name val="Arial Black"/>
      <family val="2"/>
    </font>
    <font>
      <b/>
      <sz val="11"/>
      <name val="Calibri "/>
      <family val="2"/>
    </font>
    <font>
      <b/>
      <sz val="12"/>
      <color indexed="9"/>
      <name val="Calibri"/>
      <family val="2"/>
      <scheme val="minor"/>
    </font>
    <font>
      <sz val="12"/>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1"/>
      <color theme="1"/>
      <name val="Arial"/>
      <family val="2"/>
    </font>
    <font>
      <sz val="11"/>
      <color theme="1"/>
      <name val="Times New Roman"/>
      <family val="1"/>
    </font>
    <font>
      <sz val="9"/>
      <color theme="1"/>
      <name val="Times New Roman"/>
      <family val="1"/>
    </font>
    <font>
      <vertAlign val="superscript"/>
      <sz val="9"/>
      <color theme="1"/>
      <name val="Times New Roman"/>
      <family val="1"/>
    </font>
    <font>
      <sz val="9"/>
      <color theme="1"/>
      <name val="Calibri"/>
      <family val="2"/>
      <scheme val="minor"/>
    </font>
    <font>
      <sz val="11"/>
      <color indexed="9"/>
      <name val="Times New Roman"/>
      <family val="1"/>
    </font>
    <font>
      <b/>
      <sz val="11"/>
      <color theme="1"/>
      <name val="Times New Roman"/>
      <family val="1"/>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vertAlign val="superscript"/>
      <sz val="9"/>
      <color rgb="FF000000"/>
      <name val="Times New Roman"/>
      <family val="2"/>
    </font>
    <font>
      <sz val="9"/>
      <color rgb="FF000000"/>
      <name val="Times New Roman"/>
      <family val="2"/>
    </font>
    <font>
      <b/>
      <sz val="11"/>
      <color theme="1"/>
      <name val="Calibri"/>
      <family val="2"/>
    </font>
    <font>
      <sz val="11"/>
      <color theme="1"/>
      <name val="Calibri"/>
      <family val="2"/>
    </font>
    <font>
      <sz val="9"/>
      <color rgb="FFFFFFFF"/>
      <name val="Calibri"/>
      <family val="2"/>
    </font>
    <font>
      <vertAlign val="superscript"/>
      <sz val="9"/>
      <color rgb="FFFFFFFF"/>
      <name val="Calibri"/>
      <family val="2"/>
    </font>
    <font>
      <sz val="11"/>
      <color theme="1"/>
      <name val="Calibri"/>
      <family val="2"/>
      <scheme val="minor"/>
    </font>
    <font>
      <vertAlign val="superscript"/>
      <sz val="9"/>
      <color rgb="FF000000"/>
      <name val="Times New Roman"/>
      <family val="1"/>
    </font>
    <font>
      <sz val="9"/>
      <color rgb="FF000000"/>
      <name val="Times New Roman"/>
      <family val="1"/>
    </font>
  </fonts>
  <fills count="26">
    <fill>
      <patternFill patternType="none"/>
    </fill>
    <fill>
      <patternFill patternType="gray125"/>
    </fill>
    <fill>
      <patternFill patternType="solid">
        <fgColor rgb="FFC6EFCE"/>
        <bgColor indexed="64"/>
      </patternFill>
    </fill>
    <fill>
      <patternFill patternType="solid">
        <fgColor rgb="FF1F497D"/>
        <bgColor indexed="64"/>
      </patternFill>
    </fill>
    <fill>
      <patternFill patternType="solid">
        <fgColor rgb="FFBFBFBF"/>
        <bgColor indexed="64"/>
      </patternFill>
    </fill>
    <fill>
      <patternFill patternType="solid">
        <fgColor theme="3" tint="0.39997558519241921"/>
        <bgColor indexed="64"/>
      </patternFill>
    </fill>
    <fill>
      <patternFill patternType="solid">
        <fgColor theme="1"/>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indexed="22"/>
        <bgColor indexed="64"/>
      </patternFill>
    </fill>
    <fill>
      <patternFill patternType="solid">
        <fgColor theme="2"/>
        <bgColor indexed="64"/>
      </patternFill>
    </fill>
    <fill>
      <patternFill patternType="solid">
        <fgColor theme="6" tint="0.79995117038483843"/>
        <bgColor indexed="64"/>
      </patternFill>
    </fill>
    <fill>
      <patternFill patternType="solid">
        <fgColor rgb="FFFFF2CC"/>
        <bgColor indexed="64"/>
      </patternFill>
    </fill>
    <fill>
      <patternFill patternType="solid">
        <fgColor rgb="FFA5A5A5"/>
        <bgColor indexed="64"/>
      </patternFill>
    </fill>
    <fill>
      <patternFill patternType="solid">
        <fgColor rgb="FFA6A6A6"/>
        <bgColor indexed="64"/>
      </patternFill>
    </fill>
    <fill>
      <patternFill patternType="solid">
        <fgColor theme="6"/>
        <bgColor indexed="64"/>
      </patternFill>
    </fill>
    <fill>
      <patternFill patternType="solid">
        <fgColor theme="5" tint="0.39997558519241921"/>
        <bgColor indexed="64"/>
      </patternFill>
    </fill>
    <fill>
      <patternFill patternType="solid">
        <fgColor rgb="FF92D050"/>
        <bgColor indexed="64"/>
      </patternFill>
    </fill>
  </fills>
  <borders count="10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diagonal/>
    </border>
    <border>
      <left/>
      <right style="thin">
        <color auto="1"/>
      </right>
      <top style="medium">
        <color auto="1"/>
      </top>
      <bottom style="medium">
        <color rgb="FF000000"/>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auto="1"/>
      </top>
      <bottom/>
      <diagonal/>
    </border>
    <border>
      <left/>
      <right style="hair">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rgb="FF000000"/>
      </bottom>
      <diagonal/>
    </border>
    <border>
      <left style="hair">
        <color auto="1"/>
      </left>
      <right style="medium">
        <color auto="1"/>
      </right>
      <top style="hair">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
      <left style="medium">
        <color rgb="FF000000"/>
      </left>
      <right/>
      <top style="medium">
        <color rgb="FF000000"/>
      </top>
      <bottom style="thin">
        <color rgb="FF000000"/>
      </bottom>
      <diagonal/>
    </border>
    <border>
      <left style="thin">
        <color rgb="FF000000"/>
      </left>
      <right style="thin">
        <color auto="1"/>
      </right>
      <top style="thin">
        <color auto="1"/>
      </top>
      <bottom/>
      <diagonal/>
    </border>
    <border>
      <left style="medium">
        <color rgb="FF000000"/>
      </left>
      <right/>
      <top/>
      <bottom style="medium">
        <color rgb="FF000000"/>
      </bottom>
      <diagonal/>
    </border>
    <border>
      <left style="thin">
        <color rgb="FF000000"/>
      </left>
      <right style="thin">
        <color auto="1"/>
      </right>
      <top style="thin">
        <color auto="1"/>
      </top>
      <bottom style="medium">
        <color auto="1"/>
      </bottom>
      <diagonal/>
    </border>
    <border>
      <left style="thin">
        <color rgb="FF000000"/>
      </left>
      <right style="thin">
        <color rgb="FF000000"/>
      </right>
      <top/>
      <bottom style="thin">
        <color rgb="FF000000"/>
      </bottom>
      <diagonal/>
    </border>
    <border>
      <left style="medium">
        <color auto="1"/>
      </left>
      <right style="medium">
        <color auto="1"/>
      </right>
      <top style="thin">
        <color rgb="FF000000"/>
      </top>
      <bottom style="thin">
        <color rgb="FF000000"/>
      </bottom>
      <diagonal/>
    </border>
    <border>
      <left style="medium">
        <color auto="1"/>
      </left>
      <right style="medium">
        <color auto="1"/>
      </right>
      <top style="thin">
        <color rgb="FF000000"/>
      </top>
      <bottom style="medium">
        <color auto="1"/>
      </bottom>
      <diagonal/>
    </border>
  </borders>
  <cellStyleXfs count="10">
    <xf numFmtId="0" fontId="0" fillId="0" borderId="0"/>
    <xf numFmtId="9" fontId="46" fillId="0" borderId="0" applyFont="0" applyFill="0" applyBorder="0" applyAlignment="0" applyProtection="0"/>
    <xf numFmtId="44" fontId="46" fillId="0" borderId="0" applyFont="0" applyFill="0" applyBorder="0" applyAlignment="0" applyProtection="0"/>
    <xf numFmtId="42" fontId="1" fillId="0" borderId="0" applyFont="0" applyFill="0" applyBorder="0" applyAlignment="0" applyProtection="0"/>
    <xf numFmtId="43" fontId="46" fillId="0" borderId="0" applyFont="0" applyFill="0" applyBorder="0" applyAlignment="0" applyProtection="0"/>
    <xf numFmtId="41" fontId="1" fillId="0" borderId="0" applyFont="0" applyFill="0" applyBorder="0" applyAlignment="0" applyProtection="0"/>
    <xf numFmtId="0" fontId="1" fillId="0" borderId="0"/>
    <xf numFmtId="0" fontId="15" fillId="2" borderId="0" applyNumberFormat="0" applyBorder="0" applyAlignment="0" applyProtection="0"/>
    <xf numFmtId="0" fontId="21" fillId="0" borderId="0"/>
    <xf numFmtId="0" fontId="29" fillId="0" borderId="0"/>
  </cellStyleXfs>
  <cellXfs count="824">
    <xf numFmtId="0" fontId="0" fillId="0" borderId="0" xfId="0"/>
    <xf numFmtId="0" fontId="8" fillId="23" borderId="36" xfId="0" applyFont="1" applyFill="1" applyBorder="1" applyAlignment="1">
      <alignment horizontal="left" vertical="center" wrapText="1"/>
    </xf>
    <xf numFmtId="0" fontId="0" fillId="0" borderId="42" xfId="0" applyBorder="1" applyAlignment="1">
      <alignment horizontal="center" vertical="center" wrapText="1"/>
    </xf>
    <xf numFmtId="0" fontId="0" fillId="0" borderId="63" xfId="0" applyBorder="1" applyAlignment="1">
      <alignment horizontal="center" vertical="center" wrapText="1"/>
    </xf>
    <xf numFmtId="0" fontId="0" fillId="0" borderId="13" xfId="0" applyBorder="1" applyAlignment="1">
      <alignment horizontal="center" vertical="center" wrapText="1"/>
    </xf>
    <xf numFmtId="0" fontId="30" fillId="0" borderId="11" xfId="0" applyFont="1" applyBorder="1" applyAlignment="1">
      <alignment horizontal="left" vertical="top" wrapText="1"/>
    </xf>
    <xf numFmtId="0" fontId="31" fillId="0" borderId="11" xfId="0" applyFont="1" applyBorder="1" applyAlignment="1">
      <alignment horizontal="left" vertical="top" wrapText="1"/>
    </xf>
    <xf numFmtId="0" fontId="0" fillId="11" borderId="54" xfId="0" applyFill="1" applyBorder="1" applyAlignment="1">
      <alignment horizontal="center"/>
    </xf>
    <xf numFmtId="0" fontId="0" fillId="11" borderId="11" xfId="0" applyFill="1" applyBorder="1" applyAlignment="1">
      <alignment horizontal="center"/>
    </xf>
    <xf numFmtId="0" fontId="0" fillId="11" borderId="20" xfId="0" applyFill="1" applyBorder="1" applyAlignment="1">
      <alignment horizontal="center"/>
    </xf>
    <xf numFmtId="0" fontId="10" fillId="0" borderId="11" xfId="0" applyFont="1" applyBorder="1" applyAlignment="1">
      <alignment horizontal="left" vertical="top" wrapText="1"/>
    </xf>
    <xf numFmtId="0" fontId="0" fillId="0" borderId="11" xfId="0" applyBorder="1" applyAlignment="1">
      <alignment horizontal="left" vertical="top" wrapText="1"/>
    </xf>
    <xf numFmtId="0" fontId="41" fillId="0" borderId="11" xfId="0" applyFont="1" applyBorder="1" applyAlignment="1">
      <alignment horizontal="left" vertical="top" wrapText="1"/>
    </xf>
    <xf numFmtId="0" fontId="33" fillId="0" borderId="11" xfId="0" applyFont="1" applyBorder="1" applyAlignment="1">
      <alignment vertical="top"/>
    </xf>
    <xf numFmtId="0" fontId="31" fillId="0" borderId="11" xfId="0" applyFont="1" applyBorder="1" applyAlignment="1">
      <alignment vertical="top" wrapText="1"/>
    </xf>
    <xf numFmtId="0" fontId="4" fillId="0" borderId="0" xfId="0" applyFont="1"/>
    <xf numFmtId="164" fontId="0" fillId="0" borderId="0" xfId="4" applyNumberFormat="1" applyFont="1"/>
    <xf numFmtId="43" fontId="0" fillId="0" borderId="0" xfId="4" applyFont="1"/>
    <xf numFmtId="165" fontId="0" fillId="0" borderId="0" xfId="2" applyNumberFormat="1" applyFont="1"/>
    <xf numFmtId="0" fontId="5" fillId="0" borderId="0" xfId="0" applyFont="1"/>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3" xfId="0" applyFont="1" applyFill="1" applyBorder="1"/>
    <xf numFmtId="0" fontId="2" fillId="0" borderId="0" xfId="0" applyFont="1"/>
    <xf numFmtId="165" fontId="2" fillId="0" borderId="0" xfId="2" applyNumberFormat="1" applyFont="1"/>
    <xf numFmtId="164" fontId="2" fillId="0" borderId="0" xfId="4" applyNumberFormat="1" applyFont="1"/>
    <xf numFmtId="0" fontId="7" fillId="3" borderId="3" xfId="0" applyFont="1" applyFill="1" applyBorder="1" applyAlignment="1">
      <alignment horizontal="center" vertical="center" wrapText="1"/>
    </xf>
    <xf numFmtId="0" fontId="0" fillId="0" borderId="4" xfId="0" applyBorder="1"/>
    <xf numFmtId="0" fontId="7" fillId="3" borderId="5" xfId="0" applyFont="1" applyFill="1" applyBorder="1" applyAlignment="1">
      <alignment horizontal="center" vertical="center" wrapText="1"/>
    </xf>
    <xf numFmtId="0" fontId="3" fillId="4" borderId="2" xfId="0" applyFont="1" applyFill="1" applyBorder="1"/>
    <xf numFmtId="0" fontId="0" fillId="3" borderId="1"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3" fillId="4" borderId="7" xfId="0" applyFont="1" applyFill="1" applyBorder="1"/>
    <xf numFmtId="164" fontId="3" fillId="4" borderId="8" xfId="4" applyNumberFormat="1" applyFont="1" applyFill="1" applyBorder="1" applyAlignment="1"/>
    <xf numFmtId="0" fontId="10" fillId="0" borderId="0" xfId="0" applyFont="1"/>
    <xf numFmtId="0" fontId="7" fillId="3" borderId="9" xfId="0" applyFont="1" applyFill="1" applyBorder="1" applyAlignment="1">
      <alignment horizontal="center" vertical="center" wrapText="1"/>
    </xf>
    <xf numFmtId="164" fontId="7" fillId="3" borderId="10" xfId="4"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5" xfId="0" applyFont="1" applyFill="1" applyBorder="1" applyAlignment="1">
      <alignment horizontal="center" vertical="center" wrapText="1"/>
    </xf>
    <xf numFmtId="164" fontId="7" fillId="5" borderId="10" xfId="4" applyNumberFormat="1" applyFont="1" applyFill="1" applyBorder="1" applyAlignment="1">
      <alignment horizontal="center" vertical="center" wrapText="1"/>
    </xf>
    <xf numFmtId="164" fontId="7" fillId="5" borderId="2" xfId="4"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13" xfId="0" applyFont="1" applyFill="1" applyBorder="1" applyAlignment="1">
      <alignment horizontal="center" vertical="center" wrapText="1"/>
    </xf>
    <xf numFmtId="164" fontId="7" fillId="3" borderId="13" xfId="4" applyNumberFormat="1" applyFont="1" applyFill="1" applyBorder="1" applyAlignment="1">
      <alignment horizontal="center" vertical="center" wrapText="1"/>
    </xf>
    <xf numFmtId="164" fontId="3" fillId="6" borderId="7" xfId="4" applyNumberFormat="1" applyFont="1" applyFill="1" applyBorder="1" applyAlignment="1"/>
    <xf numFmtId="164" fontId="3" fillId="6" borderId="14" xfId="4" applyNumberFormat="1" applyFont="1" applyFill="1" applyBorder="1" applyAlignment="1"/>
    <xf numFmtId="0" fontId="0" fillId="0" borderId="15" xfId="0" applyBorder="1" applyAlignment="1">
      <alignment horizontal="left" vertical="center" wrapText="1"/>
    </xf>
    <xf numFmtId="164" fontId="0" fillId="0" borderId="0" xfId="4" applyNumberFormat="1" applyFont="1" applyFill="1" applyBorder="1"/>
    <xf numFmtId="165" fontId="0" fillId="0" borderId="0" xfId="2" applyNumberFormat="1" applyFont="1" applyFill="1" applyBorder="1"/>
    <xf numFmtId="164" fontId="0" fillId="0" borderId="0" xfId="4" applyNumberFormat="1" applyFont="1" applyFill="1" applyBorder="1" applyAlignment="1">
      <alignment horizontal="right"/>
    </xf>
    <xf numFmtId="164" fontId="3" fillId="0" borderId="0" xfId="4"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4"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3" borderId="16" xfId="0" applyFont="1" applyFill="1" applyBorder="1" applyAlignment="1">
      <alignment horizontal="center" vertical="center" wrapText="1"/>
    </xf>
    <xf numFmtId="9" fontId="0" fillId="0" borderId="0" xfId="1" applyFont="1" applyFill="1" applyBorder="1"/>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4" borderId="20" xfId="0" applyFont="1" applyFill="1" applyBorder="1"/>
    <xf numFmtId="0" fontId="3" fillId="4" borderId="21" xfId="0" applyFont="1" applyFill="1" applyBorder="1"/>
    <xf numFmtId="0" fontId="0" fillId="3" borderId="22" xfId="0" applyFill="1" applyBorder="1" applyAlignment="1">
      <alignment vertical="center" wrapText="1"/>
    </xf>
    <xf numFmtId="0" fontId="0" fillId="3" borderId="23" xfId="0" applyFill="1" applyBorder="1" applyAlignment="1">
      <alignment vertical="center" wrapText="1"/>
    </xf>
    <xf numFmtId="0" fontId="3" fillId="4" borderId="24" xfId="0" applyFont="1" applyFill="1" applyBorder="1"/>
    <xf numFmtId="0" fontId="3" fillId="4" borderId="25" xfId="0" applyFont="1" applyFill="1" applyBorder="1"/>
    <xf numFmtId="0" fontId="3" fillId="4" borderId="26" xfId="0" applyFont="1" applyFill="1" applyBorder="1"/>
    <xf numFmtId="0" fontId="0" fillId="3" borderId="27" xfId="0" applyFill="1" applyBorder="1" applyAlignment="1">
      <alignment vertical="center" wrapText="1"/>
    </xf>
    <xf numFmtId="0" fontId="0" fillId="0" borderId="24" xfId="0" applyBorder="1" applyAlignment="1">
      <alignment horizontal="lef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6" fillId="5" borderId="2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3" fillId="4" borderId="20" xfId="0" applyFont="1" applyFill="1" applyBorder="1" applyAlignment="1">
      <alignment horizontal="center" vertical="center"/>
    </xf>
    <xf numFmtId="0" fontId="0" fillId="0" borderId="32" xfId="0" applyBorder="1" applyAlignment="1">
      <alignment horizontal="center" vertical="center"/>
    </xf>
    <xf numFmtId="0" fontId="7" fillId="3" borderId="33" xfId="0" applyFont="1" applyFill="1" applyBorder="1" applyAlignment="1">
      <alignment horizontal="center" vertical="center" wrapText="1"/>
    </xf>
    <xf numFmtId="0" fontId="3" fillId="4" borderId="34" xfId="0" applyFont="1" applyFill="1" applyBorder="1"/>
    <xf numFmtId="0" fontId="0" fillId="3" borderId="16" xfId="0" applyFill="1" applyBorder="1" applyAlignment="1">
      <alignment vertical="center" wrapText="1"/>
    </xf>
    <xf numFmtId="0" fontId="0" fillId="3" borderId="35" xfId="0" applyFill="1" applyBorder="1" applyAlignment="1">
      <alignment vertical="center" wrapText="1"/>
    </xf>
    <xf numFmtId="164" fontId="3" fillId="6" borderId="34" xfId="4" applyNumberFormat="1" applyFont="1" applyFill="1" applyBorder="1" applyAlignment="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7" borderId="36" xfId="0" applyFill="1" applyBorder="1" applyAlignment="1">
      <alignment horizontal="left" vertical="center" wrapText="1"/>
    </xf>
    <xf numFmtId="0" fontId="0" fillId="7" borderId="11" xfId="0" applyFill="1" applyBorder="1" applyAlignment="1">
      <alignment horizontal="left" vertical="center" wrapText="1"/>
    </xf>
    <xf numFmtId="0" fontId="3" fillId="4" borderId="20"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0" borderId="38" xfId="0" applyBorder="1" applyAlignment="1">
      <alignment horizontal="left" vertical="center" wrapText="1"/>
    </xf>
    <xf numFmtId="0" fontId="0" fillId="0" borderId="30" xfId="0" applyBorder="1"/>
    <xf numFmtId="0" fontId="0" fillId="0" borderId="33" xfId="0" applyBorder="1"/>
    <xf numFmtId="0" fontId="0" fillId="0" borderId="22" xfId="0" applyBorder="1" applyAlignment="1">
      <alignment horizontal="left" vertical="center" wrapText="1"/>
    </xf>
    <xf numFmtId="0" fontId="0" fillId="0" borderId="39" xfId="0" applyBorder="1" applyAlignment="1">
      <alignment vertical="center" wrapText="1"/>
    </xf>
    <xf numFmtId="0" fontId="0" fillId="0" borderId="37" xfId="0" applyBorder="1" applyAlignment="1">
      <alignment horizontal="left" vertical="center" wrapText="1"/>
    </xf>
    <xf numFmtId="0" fontId="0" fillId="0" borderId="38" xfId="0" applyBorder="1" applyAlignment="1">
      <alignment vertical="center" wrapText="1"/>
    </xf>
    <xf numFmtId="0" fontId="0" fillId="0" borderId="20" xfId="0" applyBorder="1" applyAlignment="1">
      <alignment horizontal="left" vertical="center" wrapText="1"/>
    </xf>
    <xf numFmtId="165" fontId="3" fillId="4" borderId="20" xfId="0" applyNumberFormat="1" applyFont="1" applyFill="1" applyBorder="1" applyAlignment="1">
      <alignment horizontal="center"/>
    </xf>
    <xf numFmtId="165" fontId="3" fillId="4" borderId="27" xfId="0" applyNumberFormat="1" applyFont="1" applyFill="1" applyBorder="1" applyAlignment="1">
      <alignment horizontal="center"/>
    </xf>
    <xf numFmtId="165" fontId="3" fillId="4" borderId="40" xfId="0" applyNumberFormat="1" applyFont="1" applyFill="1" applyBorder="1" applyAlignment="1">
      <alignment horizontal="center"/>
    </xf>
    <xf numFmtId="165" fontId="3" fillId="4" borderId="8" xfId="0" applyNumberFormat="1" applyFont="1" applyFill="1" applyBorder="1" applyAlignment="1">
      <alignment horizontal="center"/>
    </xf>
    <xf numFmtId="165" fontId="0" fillId="3" borderId="41" xfId="0" applyNumberFormat="1" applyFill="1" applyBorder="1" applyAlignment="1">
      <alignment horizontal="center" vertical="center" wrapText="1"/>
    </xf>
    <xf numFmtId="165" fontId="0" fillId="3" borderId="42" xfId="0" applyNumberFormat="1" applyFill="1" applyBorder="1" applyAlignment="1">
      <alignment horizontal="center" vertical="center" wrapText="1"/>
    </xf>
    <xf numFmtId="165" fontId="0" fillId="3" borderId="5" xfId="0" applyNumberFormat="1" applyFill="1" applyBorder="1" applyAlignment="1">
      <alignment horizontal="center" vertical="center" wrapText="1"/>
    </xf>
    <xf numFmtId="165" fontId="3" fillId="4" borderId="26" xfId="0" applyNumberFormat="1" applyFont="1" applyFill="1" applyBorder="1" applyAlignment="1">
      <alignment horizontal="center"/>
    </xf>
    <xf numFmtId="165" fontId="3" fillId="4" borderId="13" xfId="0" applyNumberFormat="1" applyFont="1" applyFill="1" applyBorder="1" applyAlignment="1">
      <alignment horizontal="center"/>
    </xf>
    <xf numFmtId="165" fontId="0" fillId="3" borderId="28" xfId="0" applyNumberFormat="1" applyFill="1" applyBorder="1" applyAlignment="1">
      <alignment horizontal="center" vertical="center" wrapText="1"/>
    </xf>
    <xf numFmtId="165" fontId="0" fillId="3" borderId="27" xfId="0" applyNumberFormat="1" applyFill="1" applyBorder="1" applyAlignment="1">
      <alignment horizontal="center" vertical="center" wrapText="1"/>
    </xf>
    <xf numFmtId="165" fontId="3" fillId="4" borderId="3" xfId="0" applyNumberFormat="1" applyFont="1" applyFill="1" applyBorder="1" applyAlignment="1">
      <alignment horizontal="center"/>
    </xf>
    <xf numFmtId="165" fontId="3" fillId="4" borderId="2" xfId="0" applyNumberFormat="1" applyFont="1" applyFill="1" applyBorder="1" applyAlignment="1">
      <alignment horizontal="center"/>
    </xf>
    <xf numFmtId="165" fontId="0" fillId="3" borderId="1" xfId="0" applyNumberFormat="1" applyFill="1" applyBorder="1" applyAlignment="1">
      <alignment horizontal="center" vertical="center" wrapText="1"/>
    </xf>
    <xf numFmtId="166" fontId="3" fillId="4" borderId="12" xfId="1" applyNumberFormat="1" applyFont="1" applyFill="1" applyBorder="1" applyAlignment="1">
      <alignment horizontal="center"/>
    </xf>
    <xf numFmtId="166" fontId="0" fillId="3" borderId="23" xfId="1" applyNumberFormat="1" applyFont="1" applyFill="1" applyBorder="1" applyAlignment="1">
      <alignment horizontal="center" vertical="center" wrapText="1"/>
    </xf>
    <xf numFmtId="166" fontId="3" fillId="4" borderId="43" xfId="1" applyNumberFormat="1" applyFont="1" applyFill="1" applyBorder="1" applyAlignment="1">
      <alignment horizontal="center"/>
    </xf>
    <xf numFmtId="166" fontId="3" fillId="4" borderId="14" xfId="1" applyNumberFormat="1" applyFont="1" applyFill="1" applyBorder="1" applyAlignment="1">
      <alignment horizontal="center"/>
    </xf>
    <xf numFmtId="166" fontId="0" fillId="3" borderId="29" xfId="1" applyNumberFormat="1" applyFont="1" applyFill="1" applyBorder="1" applyAlignment="1">
      <alignment horizontal="center" vertical="center" wrapText="1"/>
    </xf>
    <xf numFmtId="166" fontId="3" fillId="4" borderId="44" xfId="1" applyNumberFormat="1" applyFont="1" applyFill="1" applyBorder="1" applyAlignment="1">
      <alignment horizontal="center"/>
    </xf>
    <xf numFmtId="166" fontId="0" fillId="3" borderId="6" xfId="1" applyNumberFormat="1" applyFont="1" applyFill="1" applyBorder="1" applyAlignment="1">
      <alignment horizontal="center" vertical="center" wrapText="1"/>
    </xf>
    <xf numFmtId="166" fontId="3" fillId="4" borderId="29" xfId="1" applyNumberFormat="1" applyFont="1" applyFill="1" applyBorder="1" applyAlignment="1">
      <alignment horizontal="center"/>
    </xf>
    <xf numFmtId="166" fontId="3" fillId="4" borderId="27" xfId="1" applyNumberFormat="1" applyFont="1" applyFill="1" applyBorder="1" applyAlignment="1">
      <alignment horizontal="center"/>
    </xf>
    <xf numFmtId="166" fontId="0" fillId="0" borderId="5" xfId="1" applyNumberFormat="1" applyFont="1" applyFill="1" applyBorder="1" applyAlignment="1">
      <alignment horizontal="center"/>
    </xf>
    <xf numFmtId="166" fontId="0" fillId="0" borderId="4" xfId="1" applyNumberFormat="1" applyFont="1" applyFill="1" applyBorder="1" applyAlignment="1">
      <alignment horizontal="center"/>
    </xf>
    <xf numFmtId="166" fontId="0" fillId="0" borderId="45" xfId="1" applyNumberFormat="1" applyFont="1" applyFill="1" applyBorder="1" applyAlignment="1">
      <alignment horizontal="center"/>
    </xf>
    <xf numFmtId="166" fontId="3" fillId="4" borderId="8" xfId="1" applyNumberFormat="1" applyFont="1" applyFill="1" applyBorder="1" applyAlignment="1">
      <alignment horizontal="center"/>
    </xf>
    <xf numFmtId="166" fontId="0" fillId="3" borderId="5" xfId="1" applyNumberFormat="1" applyFont="1" applyFill="1" applyBorder="1" applyAlignment="1">
      <alignment horizontal="center" vertical="center" wrapText="1"/>
    </xf>
    <xf numFmtId="166" fontId="3" fillId="4" borderId="13" xfId="1" applyNumberFormat="1" applyFont="1" applyFill="1" applyBorder="1" applyAlignment="1">
      <alignment horizontal="center"/>
    </xf>
    <xf numFmtId="166" fontId="13" fillId="0" borderId="4" xfId="1" applyNumberFormat="1" applyFont="1" applyFill="1" applyBorder="1" applyAlignment="1">
      <alignment horizontal="center"/>
    </xf>
    <xf numFmtId="166" fontId="13" fillId="0" borderId="2" xfId="1" applyNumberFormat="1" applyFont="1" applyFill="1" applyBorder="1" applyAlignment="1">
      <alignment horizontal="center"/>
    </xf>
    <xf numFmtId="166" fontId="0" fillId="3" borderId="27" xfId="1" applyNumberFormat="1" applyFont="1" applyFill="1" applyBorder="1" applyAlignment="1">
      <alignment horizontal="center" vertical="center" wrapText="1"/>
    </xf>
    <xf numFmtId="166" fontId="3" fillId="4" borderId="2" xfId="1" applyNumberFormat="1" applyFont="1" applyFill="1" applyBorder="1" applyAlignment="1">
      <alignment horizontal="center"/>
    </xf>
    <xf numFmtId="166" fontId="3" fillId="6" borderId="8" xfId="1" applyNumberFormat="1" applyFont="1" applyFill="1" applyBorder="1" applyAlignment="1">
      <alignment horizontal="center"/>
    </xf>
    <xf numFmtId="164" fontId="3" fillId="4" borderId="21" xfId="4" applyNumberFormat="1" applyFont="1" applyFill="1" applyBorder="1" applyAlignment="1">
      <alignment horizontal="center"/>
    </xf>
    <xf numFmtId="164" fontId="3" fillId="4" borderId="8" xfId="4" applyNumberFormat="1" applyFont="1" applyFill="1" applyBorder="1" applyAlignment="1">
      <alignment horizontal="center"/>
    </xf>
    <xf numFmtId="164" fontId="0" fillId="3" borderId="22" xfId="4" applyNumberFormat="1" applyFont="1" applyFill="1" applyBorder="1" applyAlignment="1">
      <alignment horizontal="center" vertical="center" wrapText="1"/>
    </xf>
    <xf numFmtId="164" fontId="0" fillId="3" borderId="5" xfId="4" applyNumberFormat="1" applyFont="1" applyFill="1" applyBorder="1" applyAlignment="1">
      <alignment horizontal="center" vertical="center" wrapText="1"/>
    </xf>
    <xf numFmtId="164" fontId="3" fillId="4" borderId="26" xfId="4" applyNumberFormat="1" applyFont="1" applyFill="1" applyBorder="1" applyAlignment="1">
      <alignment horizontal="center"/>
    </xf>
    <xf numFmtId="164" fontId="3" fillId="4" borderId="13" xfId="4" applyNumberFormat="1" applyFont="1" applyFill="1" applyBorder="1" applyAlignment="1">
      <alignment horizontal="center"/>
    </xf>
    <xf numFmtId="164" fontId="3" fillId="4" borderId="7" xfId="4" applyNumberFormat="1" applyFont="1" applyFill="1" applyBorder="1" applyAlignment="1">
      <alignment horizontal="center"/>
    </xf>
    <xf numFmtId="164" fontId="0" fillId="3" borderId="28" xfId="4" applyNumberFormat="1" applyFont="1" applyFill="1" applyBorder="1" applyAlignment="1">
      <alignment horizontal="center" vertical="center" wrapText="1"/>
    </xf>
    <xf numFmtId="164" fontId="0" fillId="3" borderId="27" xfId="4" applyNumberFormat="1" applyFont="1" applyFill="1" applyBorder="1" applyAlignment="1">
      <alignment horizontal="center" vertical="center" wrapText="1"/>
    </xf>
    <xf numFmtId="164" fontId="0" fillId="0" borderId="46" xfId="4" applyNumberFormat="1" applyFont="1" applyBorder="1" applyAlignment="1">
      <alignment horizontal="center" vertical="center"/>
    </xf>
    <xf numFmtId="164" fontId="3" fillId="4" borderId="3" xfId="4" applyNumberFormat="1" applyFont="1" applyFill="1" applyBorder="1" applyAlignment="1">
      <alignment horizontal="center"/>
    </xf>
    <xf numFmtId="164" fontId="3" fillId="4" borderId="2" xfId="4" applyNumberFormat="1" applyFont="1" applyFill="1" applyBorder="1" applyAlignment="1">
      <alignment horizontal="center"/>
    </xf>
    <xf numFmtId="164" fontId="0" fillId="3" borderId="1" xfId="4" applyNumberFormat="1" applyFont="1" applyFill="1" applyBorder="1" applyAlignment="1">
      <alignment horizontal="center" vertical="center" wrapText="1"/>
    </xf>
    <xf numFmtId="164" fontId="3" fillId="6" borderId="7" xfId="4" applyNumberFormat="1" applyFont="1" applyFill="1" applyBorder="1" applyAlignment="1">
      <alignment horizontal="center"/>
    </xf>
    <xf numFmtId="164" fontId="3" fillId="6" borderId="8" xfId="4" applyNumberFormat="1" applyFont="1" applyFill="1" applyBorder="1" applyAlignment="1">
      <alignment horizontal="center"/>
    </xf>
    <xf numFmtId="0" fontId="3" fillId="4" borderId="28" xfId="0" applyFont="1" applyFill="1" applyBorder="1" applyAlignment="1">
      <alignment horizontal="center"/>
    </xf>
    <xf numFmtId="0" fontId="3" fillId="4" borderId="27" xfId="0" applyFont="1" applyFill="1" applyBorder="1" applyAlignment="1">
      <alignment horizontal="center"/>
    </xf>
    <xf numFmtId="164" fontId="0" fillId="0" borderId="1" xfId="4" applyNumberFormat="1" applyFont="1" applyFill="1" applyBorder="1" applyAlignment="1">
      <alignment horizontal="center" vertical="center"/>
    </xf>
    <xf numFmtId="164" fontId="0" fillId="0" borderId="5" xfId="4" applyNumberFormat="1" applyFont="1" applyFill="1" applyBorder="1" applyAlignment="1">
      <alignment horizontal="center" vertical="center"/>
    </xf>
    <xf numFmtId="166" fontId="0" fillId="0" borderId="6" xfId="1" applyNumberFormat="1" applyFont="1" applyFill="1" applyBorder="1" applyAlignment="1">
      <alignment horizontal="center" vertical="center"/>
    </xf>
    <xf numFmtId="164" fontId="0" fillId="0" borderId="47" xfId="4" applyNumberFormat="1" applyFont="1" applyFill="1" applyBorder="1" applyAlignment="1">
      <alignment horizontal="center" vertical="center"/>
    </xf>
    <xf numFmtId="164" fontId="0" fillId="0" borderId="4" xfId="4" applyNumberFormat="1" applyFont="1" applyFill="1" applyBorder="1" applyAlignment="1">
      <alignment horizontal="center" vertical="center"/>
    </xf>
    <xf numFmtId="166" fontId="0" fillId="0" borderId="32" xfId="1" applyNumberFormat="1" applyFont="1" applyFill="1" applyBorder="1" applyAlignment="1">
      <alignment horizontal="center" vertical="center"/>
    </xf>
    <xf numFmtId="165" fontId="0" fillId="0" borderId="5" xfId="0" applyNumberFormat="1" applyBorder="1" applyAlignment="1">
      <alignment horizontal="center" vertical="center"/>
    </xf>
    <xf numFmtId="165" fontId="0" fillId="0" borderId="4" xfId="0" applyNumberFormat="1" applyBorder="1" applyAlignment="1">
      <alignment horizontal="center" vertical="center"/>
    </xf>
    <xf numFmtId="165" fontId="0" fillId="0" borderId="9" xfId="0" applyNumberFormat="1" applyBorder="1" applyAlignment="1">
      <alignment horizontal="center" vertical="center"/>
    </xf>
    <xf numFmtId="165" fontId="0" fillId="0" borderId="48" xfId="0" applyNumberFormat="1" applyBorder="1" applyAlignment="1">
      <alignment horizontal="center" vertical="center"/>
    </xf>
    <xf numFmtId="165" fontId="0" fillId="0" borderId="5" xfId="2" applyNumberFormat="1" applyFont="1" applyFill="1" applyBorder="1" applyAlignment="1">
      <alignment horizontal="center" vertical="center"/>
    </xf>
    <xf numFmtId="164" fontId="0" fillId="0" borderId="9" xfId="4" applyNumberFormat="1" applyFont="1" applyFill="1" applyBorder="1" applyAlignment="1">
      <alignment horizontal="center" vertical="center"/>
    </xf>
    <xf numFmtId="164" fontId="0" fillId="0" borderId="48" xfId="4" applyNumberFormat="1" applyFont="1" applyFill="1" applyBorder="1" applyAlignment="1">
      <alignment horizontal="center" vertical="center"/>
    </xf>
    <xf numFmtId="0" fontId="0" fillId="0" borderId="49" xfId="0" applyBorder="1" applyAlignment="1">
      <alignment horizontal="left" vertical="center" wrapText="1"/>
    </xf>
    <xf numFmtId="166" fontId="0" fillId="0" borderId="13" xfId="1" applyNumberFormat="1" applyFont="1" applyFill="1" applyBorder="1" applyAlignment="1">
      <alignment horizontal="center"/>
    </xf>
    <xf numFmtId="0" fontId="0" fillId="0" borderId="46" xfId="0" applyBorder="1"/>
    <xf numFmtId="0" fontId="0" fillId="0" borderId="42" xfId="0" applyBorder="1"/>
    <xf numFmtId="0" fontId="3" fillId="4" borderId="15" xfId="0" applyFont="1" applyFill="1" applyBorder="1"/>
    <xf numFmtId="164" fontId="3" fillId="4" borderId="19" xfId="4" applyNumberFormat="1" applyFont="1" applyFill="1" applyBorder="1" applyAlignment="1">
      <alignment horizontal="center"/>
    </xf>
    <xf numFmtId="164" fontId="3" fillId="4" borderId="45" xfId="4" applyNumberFormat="1" applyFont="1" applyFill="1" applyBorder="1" applyAlignment="1">
      <alignment horizontal="center"/>
    </xf>
    <xf numFmtId="166" fontId="3" fillId="4" borderId="50" xfId="1" applyNumberFormat="1" applyFont="1" applyFill="1" applyBorder="1" applyAlignment="1">
      <alignment horizontal="center"/>
    </xf>
    <xf numFmtId="164" fontId="3" fillId="4" borderId="51" xfId="4" applyNumberFormat="1" applyFont="1" applyFill="1" applyBorder="1" applyAlignment="1">
      <alignment horizontal="center"/>
    </xf>
    <xf numFmtId="0" fontId="3" fillId="8" borderId="24" xfId="0" applyFont="1" applyFill="1" applyBorder="1"/>
    <xf numFmtId="164" fontId="0" fillId="0" borderId="5" xfId="4" applyNumberFormat="1" applyFont="1" applyFill="1" applyBorder="1" applyAlignment="1">
      <alignment horizontal="center"/>
    </xf>
    <xf numFmtId="164" fontId="0" fillId="0" borderId="4" xfId="4" applyNumberFormat="1" applyFont="1" applyFill="1" applyBorder="1" applyAlignment="1">
      <alignment horizontal="center"/>
    </xf>
    <xf numFmtId="164" fontId="3" fillId="4" borderId="12" xfId="4" applyNumberFormat="1" applyFont="1" applyFill="1" applyBorder="1" applyAlignment="1">
      <alignment horizontal="center"/>
    </xf>
    <xf numFmtId="164" fontId="0" fillId="3" borderId="52" xfId="4" applyNumberFormat="1" applyFont="1" applyFill="1" applyBorder="1" applyAlignment="1">
      <alignment horizontal="center" vertical="center" wrapText="1"/>
    </xf>
    <xf numFmtId="164" fontId="3" fillId="4" borderId="36" xfId="4" applyNumberFormat="1" applyFont="1" applyFill="1" applyBorder="1" applyAlignment="1">
      <alignment horizontal="center"/>
    </xf>
    <xf numFmtId="164" fontId="13" fillId="0" borderId="4" xfId="4" applyNumberFormat="1" applyFont="1" applyFill="1" applyBorder="1" applyAlignment="1">
      <alignment horizontal="center"/>
    </xf>
    <xf numFmtId="164" fontId="13" fillId="0" borderId="2" xfId="4" applyNumberFormat="1" applyFont="1" applyFill="1" applyBorder="1" applyAlignment="1">
      <alignment horizontal="center"/>
    </xf>
    <xf numFmtId="164" fontId="0" fillId="0" borderId="45" xfId="4" applyNumberFormat="1" applyFont="1" applyFill="1" applyBorder="1" applyAlignment="1">
      <alignment horizontal="center"/>
    </xf>
    <xf numFmtId="164" fontId="3" fillId="4" borderId="34" xfId="4" applyNumberFormat="1" applyFont="1" applyFill="1" applyBorder="1" applyAlignment="1">
      <alignment horizontal="center"/>
    </xf>
    <xf numFmtId="164" fontId="0" fillId="0" borderId="13" xfId="4" applyNumberFormat="1" applyFont="1" applyFill="1" applyBorder="1" applyAlignment="1">
      <alignment horizontal="center"/>
    </xf>
    <xf numFmtId="165" fontId="3" fillId="4" borderId="7" xfId="2" applyNumberFormat="1" applyFont="1" applyFill="1" applyBorder="1" applyAlignment="1">
      <alignment horizontal="center"/>
    </xf>
    <xf numFmtId="165" fontId="3" fillId="4" borderId="8" xfId="2" applyNumberFormat="1" applyFont="1" applyFill="1" applyBorder="1" applyAlignment="1">
      <alignment horizontal="center"/>
    </xf>
    <xf numFmtId="164" fontId="0" fillId="0" borderId="31" xfId="4" applyNumberFormat="1" applyFont="1" applyFill="1" applyBorder="1" applyAlignment="1">
      <alignment horizontal="center"/>
    </xf>
    <xf numFmtId="0" fontId="3" fillId="8" borderId="41" xfId="0" applyFont="1" applyFill="1" applyBorder="1"/>
    <xf numFmtId="164" fontId="3" fillId="9" borderId="3" xfId="4" applyNumberFormat="1" applyFont="1" applyFill="1" applyBorder="1" applyAlignment="1">
      <alignment horizontal="center" vertical="center"/>
    </xf>
    <xf numFmtId="164" fontId="3" fillId="9" borderId="2" xfId="4" applyNumberFormat="1" applyFont="1" applyFill="1" applyBorder="1" applyAlignment="1">
      <alignment horizontal="center" vertical="center"/>
    </xf>
    <xf numFmtId="166" fontId="3" fillId="9" borderId="44" xfId="1" applyNumberFormat="1" applyFont="1" applyFill="1" applyBorder="1" applyAlignment="1">
      <alignment horizontal="center" vertical="center"/>
    </xf>
    <xf numFmtId="165" fontId="3" fillId="9" borderId="0" xfId="2" applyNumberFormat="1" applyFont="1" applyFill="1" applyBorder="1" applyAlignment="1">
      <alignment horizontal="center" vertical="center"/>
    </xf>
    <xf numFmtId="166" fontId="3" fillId="9" borderId="0" xfId="1" applyNumberFormat="1" applyFont="1" applyFill="1" applyBorder="1" applyAlignment="1">
      <alignment horizontal="center" vertical="center"/>
    </xf>
    <xf numFmtId="164" fontId="3" fillId="9" borderId="2" xfId="4" applyNumberFormat="1" applyFont="1" applyFill="1" applyBorder="1" applyAlignment="1">
      <alignment horizontal="center"/>
    </xf>
    <xf numFmtId="0" fontId="3" fillId="8" borderId="25" xfId="0" applyFont="1" applyFill="1" applyBorder="1"/>
    <xf numFmtId="164" fontId="8" fillId="9" borderId="2" xfId="4" applyNumberFormat="1" applyFont="1" applyFill="1" applyBorder="1" applyAlignment="1">
      <alignment horizontal="center"/>
    </xf>
    <xf numFmtId="164" fontId="13" fillId="0" borderId="42" xfId="4" applyNumberFormat="1" applyFont="1" applyFill="1" applyBorder="1" applyAlignment="1">
      <alignment horizontal="center"/>
    </xf>
    <xf numFmtId="166" fontId="13" fillId="0" borderId="42" xfId="1" applyNumberFormat="1" applyFont="1" applyFill="1" applyBorder="1" applyAlignment="1">
      <alignment horizontal="center"/>
    </xf>
    <xf numFmtId="164" fontId="13" fillId="0" borderId="45" xfId="4" applyNumberFormat="1" applyFont="1" applyFill="1" applyBorder="1" applyAlignment="1">
      <alignment horizontal="center"/>
    </xf>
    <xf numFmtId="166" fontId="13" fillId="0" borderId="45" xfId="1" applyNumberFormat="1" applyFont="1" applyFill="1" applyBorder="1" applyAlignment="1">
      <alignment horizontal="center"/>
    </xf>
    <xf numFmtId="1" fontId="0" fillId="0" borderId="0" xfId="0" applyNumberFormat="1"/>
    <xf numFmtId="164" fontId="10" fillId="0" borderId="4" xfId="4" applyNumberFormat="1" applyFont="1" applyFill="1" applyBorder="1" applyAlignment="1">
      <alignment horizontal="center"/>
    </xf>
    <xf numFmtId="164" fontId="0" fillId="0" borderId="38" xfId="4" applyNumberFormat="1" applyFont="1" applyFill="1" applyBorder="1" applyAlignment="1">
      <alignment horizontal="center" vertical="center"/>
    </xf>
    <xf numFmtId="0" fontId="10" fillId="0" borderId="53" xfId="0" applyFont="1" applyBorder="1" applyAlignment="1">
      <alignment horizontal="left" vertical="center" wrapText="1"/>
    </xf>
    <xf numFmtId="0" fontId="10" fillId="0" borderId="15" xfId="0" applyFont="1" applyBorder="1" applyAlignment="1">
      <alignment horizontal="left" vertical="center" wrapText="1"/>
    </xf>
    <xf numFmtId="164" fontId="0" fillId="0" borderId="45" xfId="4" applyNumberFormat="1" applyFont="1" applyFill="1" applyBorder="1" applyAlignment="1">
      <alignment horizontal="center" vertical="center"/>
    </xf>
    <xf numFmtId="164" fontId="0" fillId="0" borderId="54" xfId="4" applyNumberFormat="1" applyFont="1" applyFill="1" applyBorder="1" applyAlignment="1">
      <alignment horizontal="center" vertical="center"/>
    </xf>
    <xf numFmtId="0" fontId="0" fillId="0" borderId="47" xfId="0" applyBorder="1" applyAlignment="1">
      <alignment horizontal="center" vertical="center"/>
    </xf>
    <xf numFmtId="164" fontId="3" fillId="4" borderId="14" xfId="4" applyNumberFormat="1" applyFont="1" applyFill="1" applyBorder="1" applyAlignment="1">
      <alignment horizont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3" fillId="4" borderId="3" xfId="0" applyFont="1" applyFill="1" applyBorder="1" applyAlignment="1">
      <alignment horizontal="center"/>
    </xf>
    <xf numFmtId="0" fontId="3" fillId="4" borderId="44" xfId="0" applyFont="1" applyFill="1" applyBorder="1" applyAlignment="1">
      <alignment horizontal="center"/>
    </xf>
    <xf numFmtId="0" fontId="3" fillId="4" borderId="7" xfId="0" applyFont="1" applyFill="1" applyBorder="1" applyAlignment="1">
      <alignment horizontal="center"/>
    </xf>
    <xf numFmtId="0" fontId="3" fillId="4" borderId="14" xfId="0" applyFont="1" applyFill="1" applyBorder="1" applyAlignment="1">
      <alignment horizontal="center"/>
    </xf>
    <xf numFmtId="166" fontId="3" fillId="6" borderId="34" xfId="1" applyNumberFormat="1" applyFont="1" applyFill="1" applyBorder="1" applyAlignment="1">
      <alignment horizontal="center"/>
    </xf>
    <xf numFmtId="165" fontId="3" fillId="4" borderId="45" xfId="4" applyNumberFormat="1" applyFont="1" applyFill="1" applyBorder="1" applyAlignment="1">
      <alignment horizontal="center"/>
    </xf>
    <xf numFmtId="0" fontId="0" fillId="0" borderId="41" xfId="0" applyBorder="1" applyAlignment="1">
      <alignment horizontal="left" vertical="center" wrapText="1"/>
    </xf>
    <xf numFmtId="0" fontId="15" fillId="0" borderId="0" xfId="7" applyFill="1"/>
    <xf numFmtId="0" fontId="3" fillId="4" borderId="35" xfId="4" applyNumberFormat="1" applyFont="1" applyFill="1" applyBorder="1" applyAlignment="1">
      <alignment horizontal="center"/>
    </xf>
    <xf numFmtId="165" fontId="3" fillId="4" borderId="55" xfId="0" applyNumberFormat="1" applyFont="1" applyFill="1" applyBorder="1" applyAlignment="1">
      <alignment horizontal="center"/>
    </xf>
    <xf numFmtId="167" fontId="0" fillId="0" borderId="5" xfId="4" applyNumberFormat="1" applyFont="1" applyFill="1" applyBorder="1" applyAlignment="1">
      <alignment horizontal="center"/>
    </xf>
    <xf numFmtId="167" fontId="0" fillId="0" borderId="4" xfId="4" applyNumberFormat="1" applyFont="1" applyFill="1" applyBorder="1" applyAlignment="1">
      <alignment horizontal="center"/>
    </xf>
    <xf numFmtId="167" fontId="3" fillId="9" borderId="2" xfId="4" applyNumberFormat="1" applyFont="1" applyFill="1" applyBorder="1" applyAlignment="1">
      <alignment horizontal="center"/>
    </xf>
    <xf numFmtId="167" fontId="0" fillId="0" borderId="13" xfId="4" applyNumberFormat="1" applyFont="1" applyFill="1" applyBorder="1" applyAlignment="1">
      <alignment horizontal="center"/>
    </xf>
    <xf numFmtId="167" fontId="3" fillId="4" borderId="8" xfId="4" applyNumberFormat="1" applyFont="1" applyFill="1" applyBorder="1" applyAlignment="1">
      <alignment horizontal="center"/>
    </xf>
    <xf numFmtId="167" fontId="0" fillId="3" borderId="5" xfId="4" applyNumberFormat="1" applyFont="1" applyFill="1" applyBorder="1" applyAlignment="1">
      <alignment horizontal="center" vertical="center" wrapText="1"/>
    </xf>
    <xf numFmtId="167" fontId="3" fillId="4" borderId="13" xfId="4" applyNumberFormat="1" applyFont="1" applyFill="1" applyBorder="1" applyAlignment="1">
      <alignment horizontal="center"/>
    </xf>
    <xf numFmtId="167" fontId="13" fillId="0" borderId="45" xfId="4" applyNumberFormat="1" applyFont="1" applyFill="1" applyBorder="1" applyAlignment="1">
      <alignment horizontal="center"/>
    </xf>
    <xf numFmtId="167" fontId="13" fillId="0" borderId="4" xfId="4" applyNumberFormat="1" applyFont="1" applyFill="1" applyBorder="1" applyAlignment="1">
      <alignment horizontal="center"/>
    </xf>
    <xf numFmtId="167" fontId="13" fillId="0" borderId="2" xfId="4" applyNumberFormat="1" applyFont="1" applyFill="1" applyBorder="1" applyAlignment="1">
      <alignment horizontal="center"/>
    </xf>
    <xf numFmtId="167" fontId="0" fillId="3" borderId="27" xfId="4" applyNumberFormat="1" applyFont="1" applyFill="1" applyBorder="1" applyAlignment="1">
      <alignment horizontal="center" vertical="center" wrapText="1"/>
    </xf>
    <xf numFmtId="167" fontId="3" fillId="4" borderId="2" xfId="4" applyNumberFormat="1" applyFont="1" applyFill="1" applyBorder="1" applyAlignment="1">
      <alignment horizontal="center"/>
    </xf>
    <xf numFmtId="165" fontId="0" fillId="0" borderId="46" xfId="4" applyNumberFormat="1" applyFont="1" applyFill="1" applyBorder="1" applyAlignment="1">
      <alignment horizontal="center" vertical="center"/>
    </xf>
    <xf numFmtId="165" fontId="0" fillId="0" borderId="42" xfId="2" applyNumberFormat="1" applyFont="1" applyFill="1" applyBorder="1" applyAlignment="1">
      <alignment horizontal="center" vertical="center"/>
    </xf>
    <xf numFmtId="165" fontId="3" fillId="9" borderId="13" xfId="2" applyNumberFormat="1" applyFont="1" applyFill="1" applyBorder="1" applyAlignment="1">
      <alignment horizontal="center" vertical="center"/>
    </xf>
    <xf numFmtId="165" fontId="3" fillId="4" borderId="21" xfId="0" applyNumberFormat="1" applyFont="1" applyFill="1" applyBorder="1" applyAlignment="1">
      <alignment horizontal="center"/>
    </xf>
    <xf numFmtId="165" fontId="0" fillId="3" borderId="30" xfId="0" applyNumberFormat="1" applyFill="1" applyBorder="1" applyAlignment="1">
      <alignment horizontal="center" vertical="center" wrapText="1"/>
    </xf>
    <xf numFmtId="165" fontId="0" fillId="3" borderId="45" xfId="0" applyNumberFormat="1" applyFill="1" applyBorder="1" applyAlignment="1">
      <alignment horizontal="center" vertical="center" wrapText="1"/>
    </xf>
    <xf numFmtId="1" fontId="0" fillId="0" borderId="32" xfId="0" applyNumberFormat="1" applyBorder="1" applyAlignment="1">
      <alignment horizontal="center" vertical="center"/>
    </xf>
    <xf numFmtId="165" fontId="0" fillId="0" borderId="27" xfId="2" applyNumberFormat="1" applyFont="1" applyFill="1" applyBorder="1" applyAlignment="1">
      <alignment horizontal="center" vertical="center"/>
    </xf>
    <xf numFmtId="165" fontId="0" fillId="0" borderId="4" xfId="2" applyNumberFormat="1" applyFont="1" applyFill="1" applyBorder="1" applyAlignment="1">
      <alignment horizontal="center" vertical="center"/>
    </xf>
    <xf numFmtId="164" fontId="0" fillId="0" borderId="42" xfId="4" applyNumberFormat="1" applyFont="1" applyFill="1" applyBorder="1" applyAlignment="1">
      <alignment horizontal="center" vertical="center"/>
    </xf>
    <xf numFmtId="166" fontId="0" fillId="0" borderId="11" xfId="1" applyNumberFormat="1" applyFont="1" applyFill="1" applyBorder="1" applyAlignment="1">
      <alignment horizontal="center" vertical="center"/>
    </xf>
    <xf numFmtId="166" fontId="0" fillId="0" borderId="56" xfId="1" applyNumberFormat="1" applyFont="1" applyFill="1" applyBorder="1" applyAlignment="1">
      <alignment horizontal="center" vertical="center"/>
    </xf>
    <xf numFmtId="166" fontId="0" fillId="0" borderId="4" xfId="1" applyNumberFormat="1" applyFont="1" applyFill="1" applyBorder="1" applyAlignment="1">
      <alignment horizontal="center" vertical="center"/>
    </xf>
    <xf numFmtId="165" fontId="0" fillId="0" borderId="11" xfId="2" applyNumberFormat="1" applyFont="1" applyFill="1" applyBorder="1" applyAlignment="1">
      <alignment horizontal="center" vertical="center"/>
    </xf>
    <xf numFmtId="164" fontId="0" fillId="0" borderId="30" xfId="4" applyNumberFormat="1" applyFont="1" applyFill="1" applyBorder="1" applyAlignment="1">
      <alignment horizontal="center" vertical="center"/>
    </xf>
    <xf numFmtId="165" fontId="0" fillId="0" borderId="47" xfId="2" applyNumberFormat="1" applyFont="1" applyBorder="1" applyAlignment="1">
      <alignment horizontal="center" vertical="center"/>
    </xf>
    <xf numFmtId="165" fontId="0" fillId="0" borderId="32" xfId="2" applyNumberFormat="1" applyFont="1" applyBorder="1" applyAlignment="1">
      <alignment horizontal="center" vertical="center"/>
    </xf>
    <xf numFmtId="165" fontId="3" fillId="4" borderId="14" xfId="2" applyNumberFormat="1" applyFont="1" applyFill="1" applyBorder="1" applyAlignment="1">
      <alignment horizontal="center"/>
    </xf>
    <xf numFmtId="165" fontId="0" fillId="3" borderId="28" xfId="2" applyNumberFormat="1" applyFont="1" applyFill="1" applyBorder="1" applyAlignment="1">
      <alignment vertical="center" wrapText="1"/>
    </xf>
    <xf numFmtId="165" fontId="0" fillId="3" borderId="29" xfId="2" applyNumberFormat="1" applyFont="1" applyFill="1" applyBorder="1" applyAlignment="1">
      <alignment vertical="center" wrapText="1"/>
    </xf>
    <xf numFmtId="165" fontId="0" fillId="0" borderId="1" xfId="2" applyNumberFormat="1" applyFont="1" applyBorder="1" applyAlignment="1">
      <alignment horizontal="center" vertical="center"/>
    </xf>
    <xf numFmtId="165" fontId="0" fillId="0" borderId="6" xfId="2" applyNumberFormat="1" applyFont="1" applyBorder="1" applyAlignment="1">
      <alignment horizontal="center" vertical="center"/>
    </xf>
    <xf numFmtId="165" fontId="0" fillId="0" borderId="30" xfId="2" applyNumberFormat="1" applyFont="1" applyBorder="1" applyAlignment="1">
      <alignment horizontal="center"/>
    </xf>
    <xf numFmtId="165" fontId="0" fillId="0" borderId="31" xfId="2" applyNumberFormat="1" applyFont="1" applyBorder="1" applyAlignment="1">
      <alignment horizontal="center"/>
    </xf>
    <xf numFmtId="165" fontId="3" fillId="4" borderId="3" xfId="2" applyNumberFormat="1" applyFont="1" applyFill="1" applyBorder="1" applyAlignment="1">
      <alignment horizontal="center"/>
    </xf>
    <xf numFmtId="165" fontId="3" fillId="4" borderId="44" xfId="2" applyNumberFormat="1" applyFont="1" applyFill="1" applyBorder="1" applyAlignment="1">
      <alignment horizontal="center"/>
    </xf>
    <xf numFmtId="165" fontId="16" fillId="0" borderId="1" xfId="2" applyNumberFormat="1" applyFont="1" applyFill="1" applyBorder="1" applyAlignment="1">
      <alignment horizontal="center" vertical="center"/>
    </xf>
    <xf numFmtId="165" fontId="16" fillId="0" borderId="6" xfId="2" applyNumberFormat="1" applyFont="1" applyFill="1" applyBorder="1" applyAlignment="1">
      <alignment horizontal="center" vertical="center"/>
    </xf>
    <xf numFmtId="166" fontId="3" fillId="4" borderId="57" xfId="1" applyNumberFormat="1" applyFont="1" applyFill="1" applyBorder="1" applyAlignment="1">
      <alignment horizontal="center"/>
    </xf>
    <xf numFmtId="164" fontId="0" fillId="3" borderId="46" xfId="4" applyNumberFormat="1" applyFont="1" applyFill="1" applyBorder="1" applyAlignment="1">
      <alignment horizontal="center" vertical="center" wrapText="1"/>
    </xf>
    <xf numFmtId="164" fontId="0" fillId="3" borderId="42" xfId="4" applyNumberFormat="1" applyFont="1" applyFill="1" applyBorder="1" applyAlignment="1">
      <alignment horizontal="center" vertical="center" wrapText="1"/>
    </xf>
    <xf numFmtId="166" fontId="0" fillId="3" borderId="42" xfId="1" applyNumberFormat="1" applyFont="1" applyFill="1" applyBorder="1" applyAlignment="1">
      <alignment horizontal="center" vertical="center" wrapText="1"/>
    </xf>
    <xf numFmtId="167" fontId="0" fillId="3" borderId="42" xfId="4" applyNumberFormat="1" applyFont="1" applyFill="1" applyBorder="1" applyAlignment="1">
      <alignment horizontal="center" vertical="center" wrapText="1"/>
    </xf>
    <xf numFmtId="164" fontId="0" fillId="0" borderId="1" xfId="4" applyNumberFormat="1" applyFont="1" applyBorder="1" applyAlignment="1">
      <alignment horizontal="center"/>
    </xf>
    <xf numFmtId="164" fontId="0" fillId="0" borderId="5" xfId="4" applyNumberFormat="1" applyFont="1" applyBorder="1" applyAlignment="1">
      <alignment horizontal="center"/>
    </xf>
    <xf numFmtId="165" fontId="3" fillId="10" borderId="45" xfId="4" applyNumberFormat="1" applyFont="1" applyFill="1" applyBorder="1" applyAlignment="1">
      <alignment horizontal="center"/>
    </xf>
    <xf numFmtId="44" fontId="2" fillId="0" borderId="0" xfId="0" applyNumberFormat="1" applyFont="1"/>
    <xf numFmtId="168" fontId="2" fillId="0" borderId="0" xfId="1" applyNumberFormat="1" applyFont="1"/>
    <xf numFmtId="0" fontId="6" fillId="5" borderId="54" xfId="0" applyFont="1" applyFill="1" applyBorder="1" applyAlignment="1">
      <alignment horizontal="center" vertical="center" wrapText="1"/>
    </xf>
    <xf numFmtId="0" fontId="0" fillId="11" borderId="48" xfId="0" applyFill="1" applyBorder="1" applyAlignment="1" applyProtection="1">
      <alignment horizontal="center" vertical="center"/>
      <protection hidden="1"/>
    </xf>
    <xf numFmtId="0" fontId="0" fillId="12" borderId="4" xfId="0" applyFill="1" applyBorder="1" applyAlignment="1" applyProtection="1">
      <alignment horizontal="center" vertical="center" wrapText="1"/>
      <protection hidden="1"/>
    </xf>
    <xf numFmtId="0" fontId="0" fillId="13" borderId="4" xfId="0" applyFill="1" applyBorder="1" applyAlignment="1" applyProtection="1">
      <alignment horizontal="center" vertical="center"/>
      <protection hidden="1"/>
    </xf>
    <xf numFmtId="0" fontId="10" fillId="13" borderId="4" xfId="0" applyFont="1" applyFill="1" applyBorder="1" applyAlignment="1" applyProtection="1">
      <alignment horizontal="center" vertical="center"/>
      <protection hidden="1"/>
    </xf>
    <xf numFmtId="0" fontId="10" fillId="13" borderId="13" xfId="0" applyFont="1" applyFill="1" applyBorder="1" applyAlignment="1" applyProtection="1">
      <alignment horizontal="center" vertical="center"/>
      <protection hidden="1"/>
    </xf>
    <xf numFmtId="0" fontId="0" fillId="14" borderId="4" xfId="0" applyFill="1" applyBorder="1" applyAlignment="1" applyProtection="1">
      <alignment horizontal="center" vertical="center" wrapText="1"/>
      <protection hidden="1"/>
    </xf>
    <xf numFmtId="44" fontId="0" fillId="15" borderId="4" xfId="0" applyNumberFormat="1" applyFill="1" applyBorder="1" applyAlignment="1" applyProtection="1">
      <alignment horizontal="center" vertical="center" wrapText="1"/>
      <protection hidden="1"/>
    </xf>
    <xf numFmtId="0" fontId="10" fillId="16" borderId="4" xfId="0" applyFont="1" applyFill="1" applyBorder="1" applyAlignment="1" applyProtection="1">
      <alignment horizontal="center" vertical="center" wrapText="1"/>
      <protection hidden="1"/>
    </xf>
    <xf numFmtId="0" fontId="0" fillId="16" borderId="4" xfId="0" applyFill="1" applyBorder="1" applyAlignment="1" applyProtection="1">
      <alignment horizontal="center" vertical="center" wrapText="1"/>
      <protection hidden="1"/>
    </xf>
    <xf numFmtId="0" fontId="0" fillId="0" borderId="4" xfId="0" applyBorder="1" applyProtection="1">
      <protection hidden="1"/>
    </xf>
    <xf numFmtId="0" fontId="0" fillId="0" borderId="58" xfId="0" applyBorder="1" applyProtection="1">
      <protection hidden="1"/>
    </xf>
    <xf numFmtId="0" fontId="0" fillId="0" borderId="4" xfId="0" applyBorder="1" applyAlignment="1">
      <alignment horizontal="left" vertical="center" wrapText="1"/>
    </xf>
    <xf numFmtId="0" fontId="0" fillId="0" borderId="48" xfId="0" applyBorder="1" applyProtection="1">
      <protection hidden="1"/>
    </xf>
    <xf numFmtId="44" fontId="0" fillId="0" borderId="4" xfId="2" applyFont="1" applyBorder="1" applyProtection="1">
      <protection hidden="1"/>
    </xf>
    <xf numFmtId="44" fontId="0" fillId="0" borderId="4" xfId="2" applyFont="1" applyBorder="1" applyProtection="1">
      <protection locked="0"/>
    </xf>
    <xf numFmtId="169" fontId="0" fillId="0" borderId="4" xfId="0" applyNumberFormat="1" applyBorder="1"/>
    <xf numFmtId="0" fontId="10" fillId="0" borderId="4" xfId="0" applyFont="1" applyBorder="1"/>
    <xf numFmtId="3" fontId="0" fillId="0" borderId="4" xfId="0" applyNumberFormat="1" applyBorder="1" applyProtection="1">
      <protection hidden="1"/>
    </xf>
    <xf numFmtId="164" fontId="13" fillId="0" borderId="1" xfId="4" applyNumberFormat="1" applyFont="1" applyFill="1" applyBorder="1" applyAlignment="1">
      <alignment horizontal="center"/>
    </xf>
    <xf numFmtId="164" fontId="13" fillId="0" borderId="5" xfId="4" applyNumberFormat="1" applyFont="1" applyFill="1" applyBorder="1" applyAlignment="1">
      <alignment horizontal="center"/>
    </xf>
    <xf numFmtId="166" fontId="13" fillId="0" borderId="23" xfId="1" applyNumberFormat="1" applyFont="1" applyFill="1" applyBorder="1" applyAlignment="1">
      <alignment horizontal="center"/>
    </xf>
    <xf numFmtId="165" fontId="13" fillId="0" borderId="11" xfId="0" applyNumberFormat="1" applyFont="1" applyBorder="1" applyAlignment="1">
      <alignment horizontal="center"/>
    </xf>
    <xf numFmtId="165" fontId="13" fillId="0" borderId="27" xfId="0" applyNumberFormat="1" applyFont="1" applyBorder="1" applyAlignment="1">
      <alignment horizontal="center"/>
    </xf>
    <xf numFmtId="165" fontId="13" fillId="0" borderId="40" xfId="0" applyNumberFormat="1" applyFont="1" applyBorder="1" applyAlignment="1">
      <alignment horizontal="center"/>
    </xf>
    <xf numFmtId="166" fontId="13" fillId="0" borderId="11" xfId="1" applyNumberFormat="1" applyFont="1" applyFill="1" applyBorder="1" applyAlignment="1">
      <alignment horizontal="center"/>
    </xf>
    <xf numFmtId="164" fontId="13" fillId="0" borderId="9" xfId="4" applyNumberFormat="1" applyFont="1" applyFill="1" applyBorder="1" applyAlignment="1">
      <alignment horizontal="center"/>
    </xf>
    <xf numFmtId="166" fontId="13" fillId="0" borderId="9" xfId="1" applyNumberFormat="1" applyFont="1" applyFill="1" applyBorder="1" applyAlignment="1">
      <alignment horizontal="center"/>
    </xf>
    <xf numFmtId="164" fontId="17" fillId="0" borderId="9" xfId="4" applyNumberFormat="1" applyFont="1" applyFill="1" applyBorder="1" applyAlignment="1">
      <alignment horizontal="center"/>
    </xf>
    <xf numFmtId="167" fontId="13" fillId="0" borderId="9" xfId="4" applyNumberFormat="1" applyFont="1" applyFill="1" applyBorder="1" applyAlignment="1">
      <alignment horizontal="center"/>
    </xf>
    <xf numFmtId="164" fontId="13" fillId="0" borderId="46" xfId="4" applyNumberFormat="1" applyFont="1" applyFill="1" applyBorder="1" applyAlignment="1">
      <alignment horizontal="center"/>
    </xf>
    <xf numFmtId="166" fontId="13" fillId="0" borderId="59" xfId="1" applyNumberFormat="1" applyFont="1" applyFill="1" applyBorder="1" applyAlignment="1">
      <alignment horizontal="center"/>
    </xf>
    <xf numFmtId="165" fontId="13" fillId="0" borderId="56" xfId="0" applyNumberFormat="1" applyFont="1" applyBorder="1" applyAlignment="1">
      <alignment horizontal="center"/>
    </xf>
    <xf numFmtId="165" fontId="13" fillId="0" borderId="4" xfId="0" applyNumberFormat="1" applyFont="1" applyBorder="1" applyAlignment="1">
      <alignment horizontal="center"/>
    </xf>
    <xf numFmtId="165" fontId="13" fillId="0" borderId="48" xfId="0" applyNumberFormat="1" applyFont="1" applyBorder="1" applyAlignment="1">
      <alignment horizontal="center"/>
    </xf>
    <xf numFmtId="166" fontId="13" fillId="0" borderId="56" xfId="1" applyNumberFormat="1" applyFont="1" applyFill="1" applyBorder="1" applyAlignment="1">
      <alignment horizontal="center"/>
    </xf>
    <xf numFmtId="164" fontId="13" fillId="0" borderId="60" xfId="4" applyNumberFormat="1" applyFont="1" applyFill="1" applyBorder="1" applyAlignment="1">
      <alignment horizontal="center"/>
    </xf>
    <xf numFmtId="166" fontId="13" fillId="0" borderId="60" xfId="1" applyNumberFormat="1" applyFont="1" applyFill="1" applyBorder="1" applyAlignment="1">
      <alignment horizontal="center"/>
    </xf>
    <xf numFmtId="164" fontId="17" fillId="0" borderId="60" xfId="4" applyNumberFormat="1" applyFont="1" applyFill="1" applyBorder="1" applyAlignment="1">
      <alignment horizontal="center"/>
    </xf>
    <xf numFmtId="167" fontId="17" fillId="0" borderId="60" xfId="4" applyNumberFormat="1" applyFont="1" applyFill="1" applyBorder="1" applyAlignment="1">
      <alignment horizontal="center"/>
    </xf>
    <xf numFmtId="165" fontId="13" fillId="0" borderId="61" xfId="0" applyNumberFormat="1" applyFont="1" applyBorder="1" applyAlignment="1">
      <alignment horizontal="center"/>
    </xf>
    <xf numFmtId="165" fontId="13" fillId="0" borderId="42" xfId="0" applyNumberFormat="1" applyFont="1" applyBorder="1" applyAlignment="1">
      <alignment horizontal="center"/>
    </xf>
    <xf numFmtId="165" fontId="13" fillId="0" borderId="60" xfId="0" applyNumberFormat="1" applyFont="1" applyBorder="1" applyAlignment="1">
      <alignment horizontal="center"/>
    </xf>
    <xf numFmtId="166" fontId="13" fillId="0" borderId="61" xfId="1" applyNumberFormat="1" applyFont="1" applyFill="1" applyBorder="1" applyAlignment="1">
      <alignment horizontal="center"/>
    </xf>
    <xf numFmtId="164" fontId="13" fillId="0" borderId="7" xfId="4" applyNumberFormat="1" applyFont="1" applyFill="1" applyBorder="1" applyAlignment="1">
      <alignment horizontal="center"/>
    </xf>
    <xf numFmtId="164" fontId="13" fillId="0" borderId="8" xfId="4" applyNumberFormat="1" applyFont="1" applyFill="1" applyBorder="1" applyAlignment="1">
      <alignment horizontal="center"/>
    </xf>
    <xf numFmtId="166" fontId="13" fillId="0" borderId="62" xfId="1" applyNumberFormat="1" applyFont="1" applyFill="1" applyBorder="1" applyAlignment="1">
      <alignment horizontal="center"/>
    </xf>
    <xf numFmtId="165" fontId="13" fillId="0" borderId="0" xfId="0" applyNumberFormat="1" applyFont="1" applyAlignment="1">
      <alignment horizontal="center"/>
    </xf>
    <xf numFmtId="165" fontId="13" fillId="0" borderId="63" xfId="0" applyNumberFormat="1" applyFont="1" applyBorder="1" applyAlignment="1">
      <alignment horizontal="center"/>
    </xf>
    <xf numFmtId="165" fontId="13" fillId="0" borderId="64" xfId="0" applyNumberFormat="1" applyFont="1" applyBorder="1" applyAlignment="1">
      <alignment horizontal="center"/>
    </xf>
    <xf numFmtId="166" fontId="13" fillId="0" borderId="0" xfId="1" applyNumberFormat="1" applyFont="1" applyFill="1" applyAlignment="1">
      <alignment horizontal="center"/>
    </xf>
    <xf numFmtId="164" fontId="13" fillId="0" borderId="65" xfId="4" applyNumberFormat="1" applyFont="1" applyFill="1" applyBorder="1" applyAlignment="1">
      <alignment horizontal="center"/>
    </xf>
    <xf numFmtId="164" fontId="13" fillId="0" borderId="64" xfId="4" applyNumberFormat="1" applyFont="1" applyFill="1" applyBorder="1" applyAlignment="1">
      <alignment horizontal="center"/>
    </xf>
    <xf numFmtId="164" fontId="13" fillId="0" borderId="63" xfId="4" applyNumberFormat="1" applyFont="1" applyFill="1" applyBorder="1" applyAlignment="1">
      <alignment horizontal="center"/>
    </xf>
    <xf numFmtId="166" fontId="13" fillId="0" borderId="64" xfId="1" applyNumberFormat="1" applyFont="1" applyFill="1" applyBorder="1" applyAlignment="1">
      <alignment horizontal="center"/>
    </xf>
    <xf numFmtId="164" fontId="17" fillId="0" borderId="64" xfId="4" applyNumberFormat="1" applyFont="1" applyFill="1" applyBorder="1" applyAlignment="1">
      <alignment horizontal="center"/>
    </xf>
    <xf numFmtId="167" fontId="13" fillId="0" borderId="64" xfId="4" applyNumberFormat="1" applyFont="1" applyFill="1" applyBorder="1" applyAlignment="1">
      <alignment horizontal="center"/>
    </xf>
    <xf numFmtId="164" fontId="3" fillId="9" borderId="7" xfId="4" applyNumberFormat="1" applyFont="1" applyFill="1" applyBorder="1" applyAlignment="1">
      <alignment horizontal="center" vertical="center"/>
    </xf>
    <xf numFmtId="164" fontId="3" fillId="9" borderId="8" xfId="4" applyNumberFormat="1" applyFont="1" applyFill="1" applyBorder="1" applyAlignment="1">
      <alignment horizontal="center" vertical="center"/>
    </xf>
    <xf numFmtId="166" fontId="3" fillId="9" borderId="34" xfId="1" applyNumberFormat="1" applyFont="1" applyFill="1" applyBorder="1" applyAlignment="1">
      <alignment horizontal="center" vertical="center"/>
    </xf>
    <xf numFmtId="165" fontId="3" fillId="9" borderId="30" xfId="4" applyNumberFormat="1" applyFont="1" applyFill="1" applyBorder="1" applyAlignment="1">
      <alignment horizontal="center" vertical="center"/>
    </xf>
    <xf numFmtId="165" fontId="3" fillId="9" borderId="45" xfId="2" applyNumberFormat="1" applyFont="1" applyFill="1" applyBorder="1" applyAlignment="1">
      <alignment horizontal="center" vertical="center"/>
    </xf>
    <xf numFmtId="166" fontId="3" fillId="9" borderId="66" xfId="1" applyNumberFormat="1" applyFont="1" applyFill="1" applyBorder="1" applyAlignment="1">
      <alignment horizontal="center" vertical="center"/>
    </xf>
    <xf numFmtId="164" fontId="3" fillId="9" borderId="30" xfId="4" applyNumberFormat="1" applyFont="1" applyFill="1" applyBorder="1" applyAlignment="1">
      <alignment horizontal="center" vertical="center"/>
    </xf>
    <xf numFmtId="164" fontId="3" fillId="9" borderId="45" xfId="4" applyNumberFormat="1" applyFont="1" applyFill="1" applyBorder="1" applyAlignment="1">
      <alignment horizontal="center" vertical="center"/>
    </xf>
    <xf numFmtId="164" fontId="3" fillId="9" borderId="45" xfId="4" applyNumberFormat="1" applyFont="1" applyFill="1" applyBorder="1" applyAlignment="1">
      <alignment horizontal="center"/>
    </xf>
    <xf numFmtId="166" fontId="3" fillId="9" borderId="45" xfId="1" applyNumberFormat="1" applyFont="1" applyFill="1" applyBorder="1" applyAlignment="1">
      <alignment horizontal="center"/>
    </xf>
    <xf numFmtId="167" fontId="3" fillId="9" borderId="45" xfId="4" applyNumberFormat="1" applyFont="1" applyFill="1" applyBorder="1" applyAlignment="1">
      <alignment horizontal="center"/>
    </xf>
    <xf numFmtId="164" fontId="0" fillId="0" borderId="20" xfId="4" applyNumberFormat="1" applyFont="1" applyFill="1" applyBorder="1" applyAlignment="1">
      <alignment horizontal="center" vertical="center"/>
    </xf>
    <xf numFmtId="164" fontId="0" fillId="0" borderId="27" xfId="4" applyNumberFormat="1" applyFont="1" applyFill="1" applyBorder="1" applyAlignment="1">
      <alignment horizontal="center" vertical="center"/>
    </xf>
    <xf numFmtId="164" fontId="17" fillId="0" borderId="47" xfId="4" applyNumberFormat="1" applyFont="1" applyFill="1" applyBorder="1" applyAlignment="1">
      <alignment horizontal="center"/>
    </xf>
    <xf numFmtId="164" fontId="17" fillId="0" borderId="48" xfId="4" applyNumberFormat="1" applyFont="1" applyFill="1" applyBorder="1" applyAlignment="1">
      <alignment horizontal="center"/>
    </xf>
    <xf numFmtId="166" fontId="10" fillId="0" borderId="32" xfId="1" applyNumberFormat="1" applyFont="1" applyFill="1" applyBorder="1" applyAlignment="1">
      <alignment horizontal="center" vertical="center"/>
    </xf>
    <xf numFmtId="165" fontId="10" fillId="0" borderId="56" xfId="2" applyNumberFormat="1" applyFont="1" applyFill="1" applyBorder="1" applyAlignment="1">
      <alignment horizontal="center" vertical="center"/>
    </xf>
    <xf numFmtId="165" fontId="10" fillId="0" borderId="4" xfId="2" applyNumberFormat="1" applyFont="1" applyFill="1" applyBorder="1" applyAlignment="1">
      <alignment horizontal="center" vertical="center"/>
    </xf>
    <xf numFmtId="164" fontId="10" fillId="0" borderId="67" xfId="4" applyNumberFormat="1" applyFont="1" applyFill="1" applyBorder="1" applyAlignment="1">
      <alignment horizontal="center" vertical="center"/>
    </xf>
    <xf numFmtId="164" fontId="10" fillId="0" borderId="13" xfId="4" applyNumberFormat="1" applyFont="1" applyFill="1" applyBorder="1" applyAlignment="1">
      <alignment horizontal="center" vertical="center"/>
    </xf>
    <xf numFmtId="166" fontId="10" fillId="0" borderId="68" xfId="1" applyNumberFormat="1" applyFont="1" applyFill="1" applyBorder="1" applyAlignment="1">
      <alignment horizontal="center" vertical="center"/>
    </xf>
    <xf numFmtId="165" fontId="10" fillId="0" borderId="26" xfId="2" applyNumberFormat="1" applyFont="1" applyFill="1" applyBorder="1" applyAlignment="1">
      <alignment horizontal="center" vertical="center"/>
    </xf>
    <xf numFmtId="165" fontId="10" fillId="0" borderId="13" xfId="2" applyNumberFormat="1" applyFont="1" applyFill="1" applyBorder="1" applyAlignment="1">
      <alignment horizontal="center" vertical="center"/>
    </xf>
    <xf numFmtId="166" fontId="0" fillId="0" borderId="36" xfId="1" applyNumberFormat="1" applyFont="1" applyFill="1" applyBorder="1" applyAlignment="1">
      <alignment horizontal="center" vertical="center"/>
    </xf>
    <xf numFmtId="164" fontId="0" fillId="0" borderId="26" xfId="4" applyNumberFormat="1" applyFont="1" applyFill="1" applyBorder="1" applyAlignment="1">
      <alignment horizontal="center" vertical="center"/>
    </xf>
    <xf numFmtId="164" fontId="0" fillId="0" borderId="13" xfId="4" applyNumberFormat="1" applyFont="1" applyFill="1" applyBorder="1" applyAlignment="1">
      <alignment horizontal="center" vertical="center"/>
    </xf>
    <xf numFmtId="164" fontId="10" fillId="0" borderId="30" xfId="4" applyNumberFormat="1" applyFont="1" applyFill="1" applyBorder="1" applyAlignment="1">
      <alignment horizontal="center" vertical="center"/>
    </xf>
    <xf numFmtId="164" fontId="10" fillId="0" borderId="45" xfId="4" applyNumberFormat="1" applyFont="1" applyFill="1" applyBorder="1" applyAlignment="1">
      <alignment horizontal="center" vertical="center"/>
    </xf>
    <xf numFmtId="166" fontId="10" fillId="0" borderId="31" xfId="1"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45" xfId="2" applyNumberFormat="1" applyFont="1" applyFill="1" applyBorder="1" applyAlignment="1">
      <alignment horizontal="center" vertical="center"/>
    </xf>
    <xf numFmtId="166" fontId="0" fillId="0" borderId="66" xfId="1" applyNumberFormat="1" applyFont="1" applyFill="1" applyBorder="1" applyAlignment="1">
      <alignment horizontal="center" vertical="center"/>
    </xf>
    <xf numFmtId="164" fontId="16" fillId="0" borderId="19" xfId="4" applyNumberFormat="1" applyFont="1" applyFill="1" applyBorder="1" applyAlignment="1">
      <alignment horizontal="center" vertical="center"/>
    </xf>
    <xf numFmtId="167" fontId="16" fillId="0" borderId="45" xfId="4" applyNumberFormat="1" applyFont="1" applyFill="1" applyBorder="1" applyAlignment="1">
      <alignment horizontal="center"/>
    </xf>
    <xf numFmtId="166" fontId="3" fillId="4" borderId="34" xfId="1" applyNumberFormat="1" applyFont="1" applyFill="1" applyBorder="1" applyAlignment="1">
      <alignment horizontal="center"/>
    </xf>
    <xf numFmtId="166" fontId="0" fillId="3" borderId="61" xfId="1" applyNumberFormat="1" applyFont="1" applyFill="1" applyBorder="1" applyAlignment="1">
      <alignment horizontal="center" vertical="center" wrapText="1"/>
    </xf>
    <xf numFmtId="164" fontId="0" fillId="3" borderId="23" xfId="4" applyNumberFormat="1" applyFont="1" applyFill="1" applyBorder="1" applyAlignment="1">
      <alignment horizontal="center" vertical="center" wrapText="1"/>
    </xf>
    <xf numFmtId="166" fontId="3" fillId="4" borderId="36" xfId="1" applyNumberFormat="1" applyFont="1" applyFill="1" applyBorder="1" applyAlignment="1">
      <alignment horizontal="center"/>
    </xf>
    <xf numFmtId="164" fontId="3" fillId="4" borderId="43" xfId="4" applyNumberFormat="1" applyFont="1" applyFill="1" applyBorder="1" applyAlignment="1">
      <alignment horizontal="center"/>
    </xf>
    <xf numFmtId="166" fontId="0" fillId="0" borderId="31" xfId="1" applyNumberFormat="1" applyFont="1" applyFill="1" applyBorder="1" applyAlignment="1">
      <alignment horizontal="center" vertical="center"/>
    </xf>
    <xf numFmtId="165" fontId="0" fillId="0" borderId="30" xfId="4" applyNumberFormat="1" applyFont="1" applyFill="1" applyBorder="1" applyAlignment="1">
      <alignment horizontal="center" vertical="center"/>
    </xf>
    <xf numFmtId="165" fontId="0" fillId="0" borderId="45" xfId="2" applyNumberFormat="1" applyFont="1" applyFill="1" applyBorder="1" applyAlignment="1">
      <alignment horizontal="center" vertical="center"/>
    </xf>
    <xf numFmtId="166" fontId="0" fillId="0" borderId="33" xfId="1" applyNumberFormat="1" applyFont="1" applyFill="1" applyBorder="1" applyAlignment="1">
      <alignment horizontal="center" vertical="center"/>
    </xf>
    <xf numFmtId="164" fontId="16" fillId="0" borderId="46" xfId="4" applyNumberFormat="1" applyFont="1" applyFill="1" applyBorder="1" applyAlignment="1">
      <alignment horizontal="center" vertical="center"/>
    </xf>
    <xf numFmtId="164" fontId="16" fillId="0" borderId="42" xfId="4" applyNumberFormat="1" applyFont="1" applyFill="1" applyBorder="1" applyAlignment="1">
      <alignment horizontal="center" vertical="center"/>
    </xf>
    <xf numFmtId="166" fontId="0" fillId="0" borderId="69" xfId="1" applyNumberFormat="1" applyFont="1" applyFill="1" applyBorder="1" applyAlignment="1">
      <alignment horizontal="center" vertical="center"/>
    </xf>
    <xf numFmtId="164" fontId="16" fillId="0" borderId="42" xfId="4" applyNumberFormat="1" applyFont="1" applyFill="1" applyBorder="1" applyAlignment="1">
      <alignment horizontal="center"/>
    </xf>
    <xf numFmtId="167" fontId="16" fillId="0" borderId="42" xfId="4" applyNumberFormat="1" applyFont="1" applyFill="1" applyBorder="1" applyAlignment="1">
      <alignment horizontal="center"/>
    </xf>
    <xf numFmtId="166" fontId="0" fillId="0" borderId="58" xfId="1" applyNumberFormat="1" applyFont="1" applyFill="1" applyBorder="1" applyAlignment="1">
      <alignment horizontal="center" vertical="center"/>
    </xf>
    <xf numFmtId="165" fontId="0" fillId="0" borderId="47" xfId="4" applyNumberFormat="1" applyFont="1" applyFill="1" applyBorder="1" applyAlignment="1">
      <alignment horizontal="center" vertical="center"/>
    </xf>
    <xf numFmtId="164" fontId="0" fillId="0" borderId="3" xfId="4" applyNumberFormat="1" applyFont="1" applyFill="1" applyBorder="1" applyAlignment="1">
      <alignment horizontal="center" vertical="center"/>
    </xf>
    <xf numFmtId="164" fontId="0" fillId="0" borderId="2" xfId="4" applyNumberFormat="1" applyFont="1" applyFill="1" applyBorder="1" applyAlignment="1">
      <alignment horizontal="center" vertical="center"/>
    </xf>
    <xf numFmtId="166" fontId="0" fillId="0" borderId="57" xfId="1" applyNumberFormat="1" applyFont="1" applyFill="1" applyBorder="1" applyAlignment="1">
      <alignment horizontal="center" vertical="center"/>
    </xf>
    <xf numFmtId="165" fontId="0" fillId="0" borderId="3" xfId="4" applyNumberFormat="1" applyFont="1" applyFill="1" applyBorder="1" applyAlignment="1">
      <alignment horizontal="center" vertical="center"/>
    </xf>
    <xf numFmtId="165" fontId="0" fillId="0" borderId="2" xfId="2" applyNumberFormat="1" applyFont="1" applyFill="1" applyBorder="1" applyAlignment="1">
      <alignment horizontal="center" vertical="center"/>
    </xf>
    <xf numFmtId="166" fontId="0" fillId="3" borderId="35" xfId="1" applyNumberFormat="1" applyFont="1" applyFill="1" applyBorder="1" applyAlignment="1">
      <alignment horizontal="center" vertical="center" wrapText="1"/>
    </xf>
    <xf numFmtId="166" fontId="0" fillId="0" borderId="16" xfId="1" applyNumberFormat="1" applyFont="1" applyFill="1" applyBorder="1" applyAlignment="1">
      <alignment horizontal="center" vertical="center"/>
    </xf>
    <xf numFmtId="166" fontId="0" fillId="3" borderId="33" xfId="1" applyNumberFormat="1" applyFont="1" applyFill="1" applyBorder="1" applyAlignment="1">
      <alignment horizontal="center" vertical="center" wrapText="1"/>
    </xf>
    <xf numFmtId="164" fontId="3" fillId="4" borderId="66" xfId="4" applyNumberFormat="1" applyFont="1" applyFill="1" applyBorder="1" applyAlignment="1">
      <alignment horizontal="center"/>
    </xf>
    <xf numFmtId="166" fontId="3" fillId="4" borderId="45" xfId="1" applyNumberFormat="1" applyFont="1" applyFill="1" applyBorder="1" applyAlignment="1">
      <alignment horizontal="center"/>
    </xf>
    <xf numFmtId="167" fontId="3" fillId="4" borderId="45" xfId="4" applyNumberFormat="1" applyFont="1" applyFill="1" applyBorder="1" applyAlignment="1">
      <alignment horizontal="center"/>
    </xf>
    <xf numFmtId="164" fontId="3" fillId="4" borderId="50" xfId="4" applyNumberFormat="1" applyFont="1" applyFill="1" applyBorder="1" applyAlignment="1">
      <alignment horizontal="center"/>
    </xf>
    <xf numFmtId="166" fontId="0" fillId="0" borderId="6" xfId="1" applyNumberFormat="1" applyFont="1" applyBorder="1" applyAlignment="1">
      <alignment horizontal="center"/>
    </xf>
    <xf numFmtId="165" fontId="0" fillId="0" borderId="1" xfId="0" applyNumberFormat="1" applyBorder="1" applyAlignment="1">
      <alignment horizontal="center"/>
    </xf>
    <xf numFmtId="165" fontId="0" fillId="0" borderId="5" xfId="0" applyNumberFormat="1" applyBorder="1" applyAlignment="1">
      <alignment horizontal="center"/>
    </xf>
    <xf numFmtId="10" fontId="0" fillId="0" borderId="4" xfId="1" applyNumberFormat="1" applyFont="1" applyBorder="1" applyAlignment="1">
      <alignment horizontal="center" vertical="center"/>
    </xf>
    <xf numFmtId="165" fontId="0" fillId="0" borderId="4" xfId="2" applyNumberFormat="1" applyFont="1" applyBorder="1"/>
    <xf numFmtId="0" fontId="7" fillId="3" borderId="4" xfId="0" applyFont="1" applyFill="1" applyBorder="1" applyAlignment="1">
      <alignment horizontal="center" vertical="center" wrapText="1"/>
    </xf>
    <xf numFmtId="0" fontId="7" fillId="3" borderId="26" xfId="0" applyFont="1" applyFill="1" applyBorder="1" applyAlignment="1">
      <alignment horizontal="center" vertical="center" wrapText="1"/>
    </xf>
    <xf numFmtId="10" fontId="0" fillId="8" borderId="4" xfId="1" applyNumberFormat="1" applyFont="1" applyFill="1" applyBorder="1" applyAlignment="1">
      <alignment horizontal="center" vertical="center"/>
    </xf>
    <xf numFmtId="165" fontId="0" fillId="8" borderId="4" xfId="2" applyNumberFormat="1" applyFont="1" applyFill="1" applyBorder="1"/>
    <xf numFmtId="0" fontId="0" fillId="8" borderId="4" xfId="0" applyFill="1" applyBorder="1" applyAlignment="1">
      <alignment wrapText="1"/>
    </xf>
    <xf numFmtId="164" fontId="7" fillId="3" borderId="68" xfId="4" applyNumberFormat="1" applyFont="1" applyFill="1" applyBorder="1" applyAlignment="1">
      <alignment horizontal="center" vertical="center" wrapText="1"/>
    </xf>
    <xf numFmtId="0" fontId="7" fillId="3" borderId="67" xfId="0" applyFont="1" applyFill="1" applyBorder="1" applyAlignment="1">
      <alignment horizontal="center" vertical="center" wrapText="1"/>
    </xf>
    <xf numFmtId="9" fontId="0" fillId="8" borderId="4" xfId="1" applyFont="1" applyFill="1" applyBorder="1"/>
    <xf numFmtId="164" fontId="0" fillId="8" borderId="4" xfId="4" applyNumberFormat="1" applyFont="1" applyFill="1" applyBorder="1"/>
    <xf numFmtId="9" fontId="0" fillId="0" borderId="4" xfId="1" applyFont="1" applyBorder="1"/>
    <xf numFmtId="164" fontId="0" fillId="0" borderId="4" xfId="4" applyNumberFormat="1" applyFont="1" applyBorder="1"/>
    <xf numFmtId="0" fontId="0" fillId="0" borderId="4" xfId="0" applyBorder="1" applyAlignment="1">
      <alignment wrapText="1"/>
    </xf>
    <xf numFmtId="0" fontId="0" fillId="0" borderId="70" xfId="0" applyBorder="1"/>
    <xf numFmtId="164" fontId="17" fillId="0" borderId="23" xfId="4" applyNumberFormat="1" applyFont="1" applyFill="1" applyBorder="1" applyAlignment="1">
      <alignment horizontal="center"/>
    </xf>
    <xf numFmtId="164" fontId="17" fillId="0" borderId="59" xfId="4" applyNumberFormat="1" applyFont="1" applyFill="1" applyBorder="1" applyAlignment="1">
      <alignment horizontal="center"/>
    </xf>
    <xf numFmtId="164" fontId="17" fillId="0" borderId="71" xfId="4" applyNumberFormat="1" applyFont="1" applyFill="1" applyBorder="1" applyAlignment="1">
      <alignment horizontal="center"/>
    </xf>
    <xf numFmtId="164" fontId="0" fillId="0" borderId="23" xfId="4" applyNumberFormat="1" applyFont="1" applyFill="1" applyBorder="1" applyAlignment="1">
      <alignment horizontal="center"/>
    </xf>
    <xf numFmtId="164" fontId="0" fillId="0" borderId="70" xfId="4" applyNumberFormat="1" applyFont="1" applyFill="1" applyBorder="1" applyAlignment="1">
      <alignment horizontal="center"/>
    </xf>
    <xf numFmtId="164" fontId="0" fillId="0" borderId="43" xfId="4" applyNumberFormat="1" applyFont="1" applyFill="1" applyBorder="1" applyAlignment="1">
      <alignment horizontal="center"/>
    </xf>
    <xf numFmtId="164" fontId="0" fillId="0" borderId="50" xfId="4" applyNumberFormat="1" applyFont="1" applyFill="1" applyBorder="1" applyAlignment="1">
      <alignment horizontal="center"/>
    </xf>
    <xf numFmtId="164" fontId="13" fillId="0" borderId="50" xfId="4" applyNumberFormat="1" applyFont="1" applyFill="1" applyBorder="1" applyAlignment="1">
      <alignment horizontal="center"/>
    </xf>
    <xf numFmtId="164" fontId="13" fillId="0" borderId="70" xfId="4" applyNumberFormat="1" applyFont="1" applyFill="1" applyBorder="1" applyAlignment="1">
      <alignment horizontal="center"/>
    </xf>
    <xf numFmtId="164" fontId="13" fillId="0" borderId="72" xfId="4" applyNumberFormat="1" applyFont="1" applyFill="1" applyBorder="1" applyAlignment="1">
      <alignment horizontal="center"/>
    </xf>
    <xf numFmtId="164" fontId="0" fillId="3" borderId="54" xfId="4" applyNumberFormat="1" applyFont="1" applyFill="1" applyBorder="1" applyAlignment="1">
      <alignment horizontal="center" vertical="center" wrapText="1"/>
    </xf>
    <xf numFmtId="164" fontId="8" fillId="9" borderId="72" xfId="4" applyNumberFormat="1" applyFont="1" applyFill="1" applyBorder="1" applyAlignment="1">
      <alignment horizontal="center"/>
    </xf>
    <xf numFmtId="164" fontId="3" fillId="4" borderId="72" xfId="4" applyNumberFormat="1" applyFont="1" applyFill="1" applyBorder="1" applyAlignment="1">
      <alignment horizontal="center"/>
    </xf>
    <xf numFmtId="164" fontId="3" fillId="6" borderId="62" xfId="4" applyNumberFormat="1" applyFont="1" applyFill="1" applyBorder="1" applyAlignment="1">
      <alignment horizontal="center"/>
    </xf>
    <xf numFmtId="164" fontId="17" fillId="0" borderId="5" xfId="4" applyNumberFormat="1" applyFont="1" applyFill="1" applyBorder="1" applyAlignment="1">
      <alignment horizontal="center"/>
    </xf>
    <xf numFmtId="164" fontId="17" fillId="0" borderId="42" xfId="4" applyNumberFormat="1" applyFont="1" applyFill="1" applyBorder="1" applyAlignment="1">
      <alignment horizontal="center"/>
    </xf>
    <xf numFmtId="164" fontId="17" fillId="0" borderId="63" xfId="4" applyNumberFormat="1" applyFont="1" applyFill="1" applyBorder="1" applyAlignment="1">
      <alignment horizontal="center"/>
    </xf>
    <xf numFmtId="164" fontId="8" fillId="9" borderId="45" xfId="4" applyNumberFormat="1" applyFont="1" applyFill="1" applyBorder="1" applyAlignment="1">
      <alignment horizontal="center"/>
    </xf>
    <xf numFmtId="0" fontId="7" fillId="5" borderId="16" xfId="0" applyFont="1" applyFill="1" applyBorder="1" applyAlignment="1">
      <alignment horizontal="center" vertical="center" wrapText="1"/>
    </xf>
    <xf numFmtId="164" fontId="7" fillId="5" borderId="57" xfId="4" applyNumberFormat="1" applyFont="1" applyFill="1" applyBorder="1" applyAlignment="1">
      <alignment horizontal="center" vertical="center" wrapText="1"/>
    </xf>
    <xf numFmtId="166" fontId="3" fillId="4" borderId="35" xfId="1" applyNumberFormat="1" applyFont="1" applyFill="1" applyBorder="1" applyAlignment="1">
      <alignment horizontal="center"/>
    </xf>
    <xf numFmtId="166" fontId="0" fillId="0" borderId="16" xfId="1" applyNumberFormat="1" applyFont="1" applyBorder="1" applyAlignment="1">
      <alignment horizontal="center"/>
    </xf>
    <xf numFmtId="166" fontId="0" fillId="3" borderId="16" xfId="1" applyNumberFormat="1" applyFont="1" applyFill="1" applyBorder="1" applyAlignment="1">
      <alignment horizontal="center" vertical="center" wrapText="1"/>
    </xf>
    <xf numFmtId="166" fontId="3" fillId="4" borderId="33" xfId="1" applyNumberFormat="1" applyFont="1" applyFill="1" applyBorder="1" applyAlignment="1">
      <alignment horizontal="center"/>
    </xf>
    <xf numFmtId="164" fontId="7" fillId="3" borderId="6" xfId="4" applyNumberFormat="1" applyFont="1" applyFill="1" applyBorder="1" applyAlignment="1">
      <alignment horizontal="center" vertical="center" wrapText="1"/>
    </xf>
    <xf numFmtId="164" fontId="7" fillId="3" borderId="3" xfId="4" applyNumberFormat="1" applyFont="1" applyFill="1" applyBorder="1" applyAlignment="1">
      <alignment horizontal="center" vertical="center" wrapText="1"/>
    </xf>
    <xf numFmtId="43" fontId="7" fillId="3" borderId="44" xfId="4" applyFont="1" applyFill="1" applyBorder="1" applyAlignment="1">
      <alignment horizontal="center" vertical="center" wrapText="1"/>
    </xf>
    <xf numFmtId="0" fontId="3" fillId="4" borderId="29" xfId="4" applyNumberFormat="1" applyFont="1" applyFill="1" applyBorder="1" applyAlignment="1">
      <alignment horizontal="center"/>
    </xf>
    <xf numFmtId="164" fontId="0" fillId="3" borderId="59" xfId="4" applyNumberFormat="1" applyFont="1" applyFill="1" applyBorder="1" applyAlignment="1">
      <alignment horizontal="center" vertical="center" wrapText="1"/>
    </xf>
    <xf numFmtId="164" fontId="3" fillId="4" borderId="3" xfId="4" applyNumberFormat="1" applyFont="1" applyFill="1" applyBorder="1" applyAlignment="1">
      <alignment horizontal="center" vertical="center"/>
    </xf>
    <xf numFmtId="164" fontId="3" fillId="4" borderId="57" xfId="4" applyNumberFormat="1" applyFont="1" applyFill="1" applyBorder="1" applyAlignment="1">
      <alignment horizontal="center" vertical="center"/>
    </xf>
    <xf numFmtId="165" fontId="3" fillId="4" borderId="3" xfId="2" applyNumberFormat="1" applyFont="1" applyFill="1" applyBorder="1" applyAlignment="1">
      <alignment horizontal="center" vertical="center"/>
    </xf>
    <xf numFmtId="165" fontId="3" fillId="4" borderId="44" xfId="2" applyNumberFormat="1" applyFont="1" applyFill="1" applyBorder="1" applyAlignment="1">
      <alignment horizontal="center" vertical="center"/>
    </xf>
    <xf numFmtId="164" fontId="0" fillId="3" borderId="16" xfId="4" applyNumberFormat="1" applyFont="1" applyFill="1" applyBorder="1" applyAlignment="1">
      <alignment horizontal="center" vertical="center" wrapText="1"/>
    </xf>
    <xf numFmtId="165" fontId="0" fillId="3" borderId="1" xfId="2" applyNumberFormat="1" applyFont="1" applyFill="1" applyBorder="1" applyAlignment="1">
      <alignment horizontal="center" vertical="center" wrapText="1"/>
    </xf>
    <xf numFmtId="165" fontId="0" fillId="3" borderId="6" xfId="2" applyNumberFormat="1" applyFont="1" applyFill="1" applyBorder="1" applyAlignment="1">
      <alignment horizontal="center" vertical="center" wrapText="1"/>
    </xf>
    <xf numFmtId="0" fontId="3" fillId="4" borderId="19" xfId="0" applyFont="1" applyFill="1" applyBorder="1"/>
    <xf numFmtId="164" fontId="3" fillId="4" borderId="73" xfId="4" applyNumberFormat="1" applyFont="1" applyFill="1" applyBorder="1" applyAlignment="1">
      <alignment horizontal="center" vertical="center"/>
    </xf>
    <xf numFmtId="164" fontId="3" fillId="4" borderId="31" xfId="4" applyNumberFormat="1" applyFont="1" applyFill="1" applyBorder="1" applyAlignment="1">
      <alignment horizontal="center" vertical="center"/>
    </xf>
    <xf numFmtId="165" fontId="3" fillId="4" borderId="30" xfId="2" applyNumberFormat="1" applyFont="1" applyFill="1" applyBorder="1" applyAlignment="1">
      <alignment horizontal="center" vertical="center"/>
    </xf>
    <xf numFmtId="165" fontId="3" fillId="4" borderId="31" xfId="2" applyNumberFormat="1" applyFont="1" applyFill="1" applyBorder="1" applyAlignment="1">
      <alignment horizontal="center" vertical="center"/>
    </xf>
    <xf numFmtId="164" fontId="3" fillId="4" borderId="30" xfId="4" applyNumberFormat="1" applyFont="1" applyFill="1" applyBorder="1" applyAlignment="1">
      <alignment horizontal="center" vertical="center"/>
    </xf>
    <xf numFmtId="164" fontId="0" fillId="0" borderId="69" xfId="4" applyNumberFormat="1" applyFont="1" applyBorder="1" applyAlignment="1">
      <alignment horizontal="center" vertical="center"/>
    </xf>
    <xf numFmtId="165" fontId="0" fillId="0" borderId="46" xfId="2" applyNumberFormat="1" applyFont="1" applyBorder="1" applyAlignment="1">
      <alignment horizontal="center" vertical="center"/>
    </xf>
    <xf numFmtId="165" fontId="0" fillId="0" borderId="74" xfId="2" applyNumberFormat="1" applyFont="1" applyBorder="1" applyAlignment="1">
      <alignment horizontal="center" vertical="center"/>
    </xf>
    <xf numFmtId="2" fontId="0" fillId="0" borderId="4" xfId="0" applyNumberFormat="1" applyBorder="1"/>
    <xf numFmtId="0" fontId="6" fillId="3" borderId="73"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9" fillId="5" borderId="47"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32" xfId="0" applyFont="1" applyFill="1" applyBorder="1" applyAlignment="1">
      <alignment horizontal="center" vertical="center"/>
    </xf>
    <xf numFmtId="164" fontId="7" fillId="0" borderId="0" xfId="4" applyNumberFormat="1" applyFont="1" applyFill="1" applyBorder="1" applyAlignment="1">
      <alignment horizontal="center" vertical="center" wrapText="1"/>
    </xf>
    <xf numFmtId="3" fontId="0" fillId="0" borderId="0" xfId="0" applyNumberFormat="1"/>
    <xf numFmtId="10" fontId="0" fillId="0" borderId="0" xfId="0" applyNumberFormat="1"/>
    <xf numFmtId="9" fontId="0" fillId="0" borderId="0" xfId="0" applyNumberFormat="1"/>
    <xf numFmtId="0" fontId="0" fillId="0" borderId="0" xfId="0" applyAlignment="1">
      <alignment wrapText="1"/>
    </xf>
    <xf numFmtId="0" fontId="20" fillId="0" borderId="0" xfId="0" applyFont="1"/>
    <xf numFmtId="164" fontId="0" fillId="0" borderId="0" xfId="0" applyNumberFormat="1"/>
    <xf numFmtId="164" fontId="0" fillId="0" borderId="0" xfId="4" applyNumberFormat="1" applyFont="1" applyFill="1" applyBorder="1"/>
    <xf numFmtId="164" fontId="7" fillId="3" borderId="4" xfId="4" applyNumberFormat="1" applyFont="1" applyFill="1" applyBorder="1" applyAlignment="1">
      <alignment horizontal="center" vertical="center" wrapText="1"/>
    </xf>
    <xf numFmtId="0" fontId="0" fillId="0" borderId="58" xfId="0" applyBorder="1" applyAlignment="1">
      <alignment wrapText="1"/>
    </xf>
    <xf numFmtId="0" fontId="0" fillId="7" borderId="58" xfId="0" applyFill="1" applyBorder="1" applyAlignment="1">
      <alignment wrapText="1"/>
    </xf>
    <xf numFmtId="164" fontId="0" fillId="7" borderId="4" xfId="4" applyNumberFormat="1" applyFont="1" applyFill="1" applyBorder="1"/>
    <xf numFmtId="9" fontId="0" fillId="7" borderId="4" xfId="1" applyFont="1" applyFill="1" applyBorder="1"/>
    <xf numFmtId="0" fontId="0" fillId="8" borderId="58" xfId="0" applyFill="1" applyBorder="1" applyAlignment="1">
      <alignment wrapText="1"/>
    </xf>
    <xf numFmtId="164" fontId="0" fillId="8" borderId="4" xfId="4" applyNumberFormat="1" applyFont="1" applyFill="1" applyBorder="1"/>
    <xf numFmtId="9" fontId="0" fillId="8" borderId="4" xfId="1" applyFont="1" applyFill="1" applyBorder="1"/>
    <xf numFmtId="9" fontId="0" fillId="0" borderId="0" xfId="1" applyFont="1" applyFill="1" applyBorder="1"/>
    <xf numFmtId="0" fontId="3" fillId="0" borderId="0" xfId="0" applyFont="1"/>
    <xf numFmtId="0" fontId="22" fillId="7" borderId="0" xfId="8" applyFont="1" applyFill="1"/>
    <xf numFmtId="0" fontId="21" fillId="7" borderId="0" xfId="8" applyFill="1"/>
    <xf numFmtId="0" fontId="21" fillId="7" borderId="0" xfId="8" applyFill="1" applyAlignment="1">
      <alignment horizontal="center"/>
    </xf>
    <xf numFmtId="0" fontId="0" fillId="7" borderId="0" xfId="0" applyFill="1"/>
    <xf numFmtId="0" fontId="21" fillId="0" borderId="0" xfId="8"/>
    <xf numFmtId="0" fontId="23" fillId="7" borderId="0" xfId="8" applyFont="1" applyFill="1"/>
    <xf numFmtId="0" fontId="23" fillId="7" borderId="0" xfId="8" applyFont="1" applyFill="1" applyAlignment="1">
      <alignment horizontal="center"/>
    </xf>
    <xf numFmtId="0" fontId="21" fillId="7" borderId="0" xfId="8" applyFill="1" applyAlignment="1">
      <alignment horizontal="center" vertical="center" wrapText="1"/>
    </xf>
    <xf numFmtId="0" fontId="25" fillId="17" borderId="75" xfId="8" applyFont="1" applyFill="1" applyBorder="1" applyAlignment="1">
      <alignment horizontal="center" vertical="center" wrapText="1"/>
    </xf>
    <xf numFmtId="0" fontId="25" fillId="17" borderId="76" xfId="8" applyFont="1" applyFill="1" applyBorder="1" applyAlignment="1">
      <alignment horizontal="center" vertical="center" wrapText="1"/>
    </xf>
    <xf numFmtId="0" fontId="25" fillId="17" borderId="77" xfId="8"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79" xfId="0" applyFont="1" applyFill="1" applyBorder="1" applyAlignment="1">
      <alignment horizontal="center" vertical="center" wrapText="1"/>
    </xf>
    <xf numFmtId="0" fontId="26" fillId="17" borderId="76" xfId="8" applyFont="1" applyFill="1" applyBorder="1" applyAlignment="1">
      <alignment horizontal="center" vertical="center" wrapText="1"/>
    </xf>
    <xf numFmtId="0" fontId="26" fillId="17" borderId="80" xfId="8" applyFont="1" applyFill="1" applyBorder="1" applyAlignment="1">
      <alignment horizontal="center" vertical="center" wrapText="1"/>
    </xf>
    <xf numFmtId="0" fontId="21" fillId="0" borderId="0" xfId="8" applyAlignment="1">
      <alignment horizontal="center" vertical="center" wrapText="1"/>
    </xf>
    <xf numFmtId="0" fontId="25" fillId="17" borderId="81" xfId="8" applyFont="1" applyFill="1" applyBorder="1" applyAlignment="1">
      <alignment horizontal="center" vertical="center" wrapText="1"/>
    </xf>
    <xf numFmtId="0" fontId="25" fillId="17" borderId="82" xfId="8" applyFont="1" applyFill="1" applyBorder="1" applyAlignment="1">
      <alignment horizontal="center" vertical="center" wrapText="1"/>
    </xf>
    <xf numFmtId="0" fontId="26" fillId="17" borderId="82" xfId="8" applyFont="1" applyFill="1" applyBorder="1" applyAlignment="1">
      <alignment horizontal="center" vertical="center" wrapText="1"/>
    </xf>
    <xf numFmtId="0" fontId="26" fillId="17" borderId="82" xfId="8" quotePrefix="1" applyFont="1" applyFill="1" applyBorder="1" applyAlignment="1">
      <alignment horizontal="center" vertical="center" wrapText="1"/>
    </xf>
    <xf numFmtId="0" fontId="26" fillId="17" borderId="80" xfId="8" quotePrefix="1" applyFont="1" applyFill="1" applyBorder="1" applyAlignment="1">
      <alignment horizontal="center" vertical="center" wrapText="1"/>
    </xf>
    <xf numFmtId="0" fontId="25" fillId="7" borderId="81" xfId="8" applyFont="1" applyFill="1" applyBorder="1" applyAlignment="1">
      <alignment horizontal="center" vertical="center" wrapText="1"/>
    </xf>
    <xf numFmtId="0" fontId="25" fillId="7" borderId="82" xfId="8" applyFont="1" applyFill="1" applyBorder="1" applyAlignment="1">
      <alignment horizontal="center" vertical="center" wrapText="1"/>
    </xf>
    <xf numFmtId="0" fontId="26" fillId="7" borderId="80" xfId="8" applyFont="1" applyFill="1" applyBorder="1" applyAlignment="1">
      <alignment horizontal="center" vertical="center" wrapText="1"/>
    </xf>
    <xf numFmtId="0" fontId="25" fillId="0" borderId="81" xfId="8" applyFont="1" applyBorder="1" applyAlignment="1">
      <alignment horizontal="center"/>
    </xf>
    <xf numFmtId="0" fontId="25" fillId="0" borderId="82" xfId="8" applyFont="1" applyBorder="1" applyAlignment="1">
      <alignment horizontal="center"/>
    </xf>
    <xf numFmtId="164" fontId="25" fillId="0" borderId="82" xfId="4" applyNumberFormat="1" applyFont="1" applyBorder="1" applyAlignment="1">
      <alignment horizontal="right"/>
    </xf>
    <xf numFmtId="10" fontId="26" fillId="0" borderId="82" xfId="1" applyNumberFormat="1" applyFont="1" applyBorder="1" applyAlignment="1">
      <alignment horizontal="right"/>
    </xf>
    <xf numFmtId="3" fontId="26" fillId="0" borderId="83" xfId="8" applyNumberFormat="1" applyFont="1" applyBorder="1" applyAlignment="1">
      <alignment horizontal="center"/>
    </xf>
    <xf numFmtId="43" fontId="21" fillId="0" borderId="0" xfId="4" applyFont="1"/>
    <xf numFmtId="0" fontId="25" fillId="0" borderId="81" xfId="8" applyFont="1" applyBorder="1" applyAlignment="1">
      <alignment horizontal="right"/>
    </xf>
    <xf numFmtId="0" fontId="25" fillId="0" borderId="84" xfId="8" applyFont="1" applyBorder="1" applyAlignment="1">
      <alignment horizontal="center"/>
    </xf>
    <xf numFmtId="0" fontId="25" fillId="0" borderId="85" xfId="8" applyFont="1" applyBorder="1" applyAlignment="1">
      <alignment horizontal="center"/>
    </xf>
    <xf numFmtId="164" fontId="25" fillId="0" borderId="85" xfId="4" applyNumberFormat="1" applyFont="1" applyBorder="1" applyAlignment="1">
      <alignment horizontal="right"/>
    </xf>
    <xf numFmtId="10" fontId="25" fillId="0" borderId="85" xfId="4" applyNumberFormat="1" applyFont="1" applyBorder="1" applyAlignment="1">
      <alignment horizontal="right"/>
    </xf>
    <xf numFmtId="10" fontId="26" fillId="0" borderId="85" xfId="4" applyNumberFormat="1" applyFont="1" applyBorder="1" applyAlignment="1">
      <alignment horizontal="right"/>
    </xf>
    <xf numFmtId="0" fontId="25" fillId="7" borderId="0" xfId="8" applyFont="1" applyFill="1" applyAlignment="1">
      <alignment horizontal="right"/>
    </xf>
    <xf numFmtId="0" fontId="25" fillId="7" borderId="0" xfId="8" applyFont="1" applyFill="1" applyAlignment="1">
      <alignment horizontal="center"/>
    </xf>
    <xf numFmtId="164" fontId="27" fillId="7" borderId="0" xfId="4" applyNumberFormat="1" applyFont="1" applyFill="1" applyBorder="1" applyAlignment="1">
      <alignment horizontal="center" vertical="center"/>
    </xf>
    <xf numFmtId="164" fontId="27" fillId="7" borderId="0" xfId="4" applyNumberFormat="1" applyFont="1" applyFill="1" applyBorder="1" applyAlignment="1">
      <alignment horizontal="center" vertical="center" wrapText="1"/>
    </xf>
    <xf numFmtId="164" fontId="27" fillId="7" borderId="0" xfId="4" applyNumberFormat="1" applyFont="1" applyFill="1" applyBorder="1" applyAlignment="1">
      <alignment horizontal="right"/>
    </xf>
    <xf numFmtId="3" fontId="26" fillId="7" borderId="0" xfId="8" applyNumberFormat="1" applyFont="1" applyFill="1" applyAlignment="1">
      <alignment horizontal="center"/>
    </xf>
    <xf numFmtId="0" fontId="26" fillId="7" borderId="0" xfId="8" applyFont="1" applyFill="1"/>
    <xf numFmtId="0" fontId="10" fillId="7" borderId="0" xfId="8" applyFont="1" applyFill="1" applyAlignment="1">
      <alignment horizontal="center"/>
    </xf>
    <xf numFmtId="0" fontId="10" fillId="7" borderId="0" xfId="8" applyFont="1" applyFill="1"/>
    <xf numFmtId="0" fontId="28" fillId="7" borderId="0" xfId="0" applyFont="1" applyFill="1" applyAlignment="1">
      <alignment horizontal="left" vertical="center" readingOrder="1"/>
    </xf>
    <xf numFmtId="44" fontId="0" fillId="0" borderId="4" xfId="2" applyFont="1" applyFill="1" applyBorder="1" applyProtection="1">
      <protection hidden="1"/>
    </xf>
    <xf numFmtId="44" fontId="0" fillId="0" borderId="4" xfId="2" applyFont="1" applyFill="1" applyBorder="1" applyProtection="1">
      <protection locked="0"/>
    </xf>
    <xf numFmtId="165" fontId="3" fillId="4" borderId="45" xfId="0" applyNumberFormat="1" applyFont="1" applyFill="1" applyBorder="1" applyAlignment="1">
      <alignment horizontal="center"/>
    </xf>
    <xf numFmtId="166" fontId="3" fillId="4" borderId="31" xfId="1" applyNumberFormat="1" applyFont="1" applyFill="1" applyBorder="1" applyAlignment="1">
      <alignment horizontal="center"/>
    </xf>
    <xf numFmtId="0" fontId="10" fillId="0" borderId="86" xfId="0" applyFont="1" applyBorder="1"/>
    <xf numFmtId="164" fontId="3" fillId="4" borderId="87" xfId="0" applyNumberFormat="1" applyFont="1" applyFill="1" applyBorder="1" applyAlignment="1">
      <alignment horizontal="center"/>
    </xf>
    <xf numFmtId="165" fontId="8" fillId="4" borderId="30" xfId="0" applyNumberFormat="1" applyFont="1" applyFill="1" applyBorder="1" applyAlignment="1">
      <alignment horizontal="center"/>
    </xf>
    <xf numFmtId="164" fontId="2" fillId="0" borderId="0" xfId="0" applyNumberFormat="1" applyFont="1"/>
    <xf numFmtId="3" fontId="26" fillId="0" borderId="88" xfId="4" applyNumberFormat="1" applyFont="1" applyBorder="1" applyAlignment="1">
      <alignment horizontal="center"/>
    </xf>
    <xf numFmtId="3" fontId="3" fillId="4" borderId="14" xfId="0" applyNumberFormat="1" applyFont="1" applyFill="1" applyBorder="1" applyAlignment="1">
      <alignment horizontal="center"/>
    </xf>
    <xf numFmtId="3" fontId="3" fillId="4" borderId="3" xfId="0" applyNumberFormat="1" applyFont="1" applyFill="1" applyBorder="1" applyAlignment="1">
      <alignment horizontal="center"/>
    </xf>
    <xf numFmtId="0" fontId="34" fillId="3" borderId="3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29" xfId="0" applyFont="1" applyFill="1" applyBorder="1" applyAlignment="1">
      <alignment horizontal="center" vertical="center" wrapText="1"/>
    </xf>
    <xf numFmtId="164" fontId="30" fillId="0" borderId="47" xfId="4" applyNumberFormat="1" applyFont="1" applyFill="1" applyBorder="1" applyAlignment="1">
      <alignment horizontal="center" vertical="center"/>
    </xf>
    <xf numFmtId="164" fontId="30" fillId="0" borderId="32" xfId="4" applyNumberFormat="1" applyFont="1" applyFill="1" applyBorder="1" applyAlignment="1">
      <alignment horizontal="center" vertical="center"/>
    </xf>
    <xf numFmtId="164" fontId="30" fillId="0" borderId="58" xfId="4" applyNumberFormat="1" applyFont="1" applyFill="1" applyBorder="1" applyAlignment="1">
      <alignment horizontal="center" vertical="center"/>
    </xf>
    <xf numFmtId="164" fontId="30" fillId="3" borderId="28" xfId="4" applyNumberFormat="1" applyFont="1" applyFill="1" applyBorder="1" applyAlignment="1">
      <alignment vertical="center" wrapText="1"/>
    </xf>
    <xf numFmtId="164" fontId="30" fillId="3" borderId="29" xfId="4" applyNumberFormat="1" applyFont="1" applyFill="1" applyBorder="1" applyAlignment="1">
      <alignment vertical="center" wrapText="1"/>
    </xf>
    <xf numFmtId="164" fontId="30" fillId="0" borderId="1" xfId="4" applyNumberFormat="1" applyFont="1" applyBorder="1" applyAlignment="1">
      <alignment horizontal="center" vertical="center"/>
    </xf>
    <xf numFmtId="164" fontId="30" fillId="0" borderId="6" xfId="4" applyNumberFormat="1" applyFont="1" applyBorder="1" applyAlignment="1">
      <alignment horizontal="center" vertical="center"/>
    </xf>
    <xf numFmtId="164" fontId="30" fillId="0" borderId="16" xfId="4" applyNumberFormat="1" applyFont="1" applyBorder="1" applyAlignment="1">
      <alignment horizontal="center" vertical="center"/>
    </xf>
    <xf numFmtId="164" fontId="0" fillId="0" borderId="4" xfId="4" applyNumberFormat="1" applyFont="1" applyBorder="1" applyAlignment="1">
      <alignment horizontal="right"/>
    </xf>
    <xf numFmtId="0" fontId="0" fillId="0" borderId="4" xfId="4" applyNumberFormat="1" applyFont="1" applyBorder="1" applyAlignment="1">
      <alignment horizontal="right"/>
    </xf>
    <xf numFmtId="164" fontId="0" fillId="8" borderId="4" xfId="4" applyNumberFormat="1" applyFont="1" applyFill="1" applyBorder="1" applyAlignment="1">
      <alignment horizontal="right"/>
    </xf>
    <xf numFmtId="0" fontId="0" fillId="0" borderId="4" xfId="1" applyNumberFormat="1" applyFont="1" applyBorder="1" applyAlignment="1">
      <alignment horizontal="right"/>
    </xf>
    <xf numFmtId="0" fontId="7" fillId="3" borderId="68" xfId="4" applyNumberFormat="1" applyFont="1" applyFill="1" applyBorder="1" applyAlignment="1">
      <alignment horizontal="center" vertical="center" wrapText="1"/>
    </xf>
    <xf numFmtId="165" fontId="0" fillId="0" borderId="4" xfId="2" applyNumberFormat="1" applyFont="1" applyFill="1" applyBorder="1"/>
    <xf numFmtId="0" fontId="7" fillId="3" borderId="4" xfId="4" applyNumberFormat="1" applyFont="1" applyFill="1" applyBorder="1" applyAlignment="1">
      <alignment horizontal="center" vertical="center" wrapText="1"/>
    </xf>
    <xf numFmtId="0" fontId="0" fillId="0" borderId="4" xfId="0" applyBorder="1" applyAlignment="1">
      <alignment horizontal="center" wrapText="1"/>
    </xf>
    <xf numFmtId="9" fontId="0" fillId="0" borderId="4" xfId="1" applyFont="1" applyBorder="1" applyAlignment="1">
      <alignment horizontal="right"/>
    </xf>
    <xf numFmtId="3" fontId="0" fillId="18" borderId="4" xfId="0" applyNumberFormat="1" applyFill="1" applyBorder="1" applyAlignment="1">
      <alignment horizontal="center" vertical="center" wrapText="1"/>
    </xf>
    <xf numFmtId="9" fontId="0" fillId="19" borderId="4" xfId="1" applyFont="1" applyFill="1" applyBorder="1" applyAlignment="1">
      <alignment horizontal="center"/>
    </xf>
    <xf numFmtId="0" fontId="0" fillId="0" borderId="58" xfId="0" applyBorder="1" applyAlignment="1">
      <alignment vertical="center"/>
    </xf>
    <xf numFmtId="164" fontId="0" fillId="0" borderId="4" xfId="0" applyNumberFormat="1" applyBorder="1" applyAlignment="1">
      <alignment horizontal="right" wrapText="1"/>
    </xf>
    <xf numFmtId="164" fontId="0" fillId="0" borderId="4" xfId="1" applyNumberFormat="1" applyFont="1" applyBorder="1" applyAlignment="1">
      <alignment horizontal="right" wrapText="1"/>
    </xf>
    <xf numFmtId="0" fontId="0" fillId="0" borderId="4" xfId="0" applyBorder="1" applyAlignment="1">
      <alignment horizontal="right"/>
    </xf>
    <xf numFmtId="0" fontId="0" fillId="0" borderId="4" xfId="0" applyBorder="1" applyAlignment="1">
      <alignment horizontal="right" wrapText="1"/>
    </xf>
    <xf numFmtId="164" fontId="0" fillId="0" borderId="4" xfId="0" applyNumberFormat="1" applyBorder="1" applyAlignment="1">
      <alignment horizontal="right"/>
    </xf>
    <xf numFmtId="164" fontId="0" fillId="0" borderId="20"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39" xfId="0" applyNumberFormat="1" applyBorder="1" applyAlignment="1">
      <alignment horizontal="center" vertical="center"/>
    </xf>
    <xf numFmtId="164" fontId="3" fillId="4" borderId="19" xfId="0" applyNumberFormat="1" applyFont="1" applyFill="1" applyBorder="1" applyAlignment="1">
      <alignment horizontal="center" vertical="center"/>
    </xf>
    <xf numFmtId="164" fontId="3" fillId="4" borderId="50" xfId="4" applyNumberFormat="1"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64" fontId="3" fillId="4" borderId="33" xfId="4" applyNumberFormat="1" applyFont="1" applyFill="1" applyBorder="1" applyAlignment="1">
      <alignment horizontal="center" vertical="center"/>
    </xf>
    <xf numFmtId="0" fontId="3" fillId="4" borderId="54" xfId="0" applyFont="1" applyFill="1" applyBorder="1"/>
    <xf numFmtId="0" fontId="0" fillId="0" borderId="23" xfId="0" applyBorder="1" applyAlignment="1">
      <alignment horizontal="left" vertical="center" wrapText="1"/>
    </xf>
    <xf numFmtId="0" fontId="0" fillId="0" borderId="70" xfId="0" applyBorder="1" applyAlignment="1">
      <alignment vertical="center" wrapText="1"/>
    </xf>
    <xf numFmtId="0" fontId="0" fillId="0" borderId="59" xfId="0" applyBorder="1" applyAlignment="1">
      <alignment horizontal="left" vertical="center" wrapText="1"/>
    </xf>
    <xf numFmtId="0" fontId="0" fillId="0" borderId="70" xfId="0" applyBorder="1" applyAlignment="1">
      <alignment horizontal="left" vertical="center" wrapText="1"/>
    </xf>
    <xf numFmtId="0" fontId="0" fillId="0" borderId="54" xfId="0" applyBorder="1" applyAlignment="1">
      <alignment horizontal="left" vertical="center" wrapText="1"/>
    </xf>
    <xf numFmtId="0" fontId="3" fillId="4" borderId="50" xfId="0" applyFont="1" applyFill="1" applyBorder="1"/>
    <xf numFmtId="0" fontId="0" fillId="3" borderId="40" xfId="0" applyFill="1" applyBorder="1" applyAlignment="1">
      <alignment vertical="center" wrapText="1"/>
    </xf>
    <xf numFmtId="0" fontId="0" fillId="3" borderId="9" xfId="0" applyFill="1" applyBorder="1" applyAlignment="1">
      <alignment vertical="center" wrapText="1"/>
    </xf>
    <xf numFmtId="0" fontId="0" fillId="0" borderId="60" xfId="0" applyBorder="1"/>
    <xf numFmtId="0" fontId="3" fillId="4" borderId="10" xfId="0" applyFont="1" applyFill="1" applyBorder="1"/>
    <xf numFmtId="0" fontId="0" fillId="3" borderId="18" xfId="0" applyFill="1" applyBorder="1" applyAlignment="1">
      <alignment vertical="center" wrapText="1"/>
    </xf>
    <xf numFmtId="0" fontId="0" fillId="0" borderId="53" xfId="0" applyBorder="1"/>
    <xf numFmtId="0" fontId="3" fillId="4" borderId="86" xfId="0" applyFont="1" applyFill="1" applyBorder="1"/>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67" xfId="0" applyNumberFormat="1" applyBorder="1" applyAlignment="1">
      <alignment horizontal="center" vertical="center"/>
    </xf>
    <xf numFmtId="164" fontId="0" fillId="0" borderId="68"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58" xfId="0" applyNumberFormat="1" applyBorder="1" applyAlignment="1">
      <alignment horizontal="center" vertical="center"/>
    </xf>
    <xf numFmtId="164" fontId="0" fillId="0" borderId="57" xfId="0" applyNumberFormat="1" applyBorder="1" applyAlignment="1">
      <alignment horizontal="center" vertical="center"/>
    </xf>
    <xf numFmtId="164" fontId="3" fillId="4" borderId="33" xfId="0" applyNumberFormat="1" applyFont="1" applyFill="1" applyBorder="1" applyAlignment="1">
      <alignment horizontal="center" vertical="center"/>
    </xf>
    <xf numFmtId="44" fontId="0" fillId="0" borderId="29" xfId="2" applyFont="1" applyBorder="1" applyAlignment="1">
      <alignment horizontal="center" vertical="center"/>
    </xf>
    <xf numFmtId="165" fontId="0" fillId="0" borderId="20" xfId="2" applyNumberFormat="1" applyFont="1" applyBorder="1" applyAlignment="1">
      <alignment horizontal="center" vertical="center"/>
    </xf>
    <xf numFmtId="165" fontId="0" fillId="0" borderId="29" xfId="2" applyNumberFormat="1" applyFont="1" applyBorder="1" applyAlignment="1">
      <alignment horizontal="center" vertical="center"/>
    </xf>
    <xf numFmtId="165" fontId="0" fillId="0" borderId="38" xfId="2" applyNumberFormat="1" applyFont="1" applyBorder="1" applyAlignment="1">
      <alignment horizontal="center" vertical="center"/>
    </xf>
    <xf numFmtId="165" fontId="0" fillId="0" borderId="39" xfId="2" applyNumberFormat="1" applyFont="1" applyBorder="1" applyAlignment="1">
      <alignment horizontal="center" vertical="center"/>
    </xf>
    <xf numFmtId="165" fontId="0" fillId="0" borderId="57" xfId="2" applyNumberFormat="1" applyFont="1" applyBorder="1" applyAlignment="1">
      <alignment horizontal="center" vertical="center"/>
    </xf>
    <xf numFmtId="165" fontId="3" fillId="4" borderId="19" xfId="0" applyNumberFormat="1" applyFont="1" applyFill="1" applyBorder="1" applyAlignment="1">
      <alignment horizontal="center" vertical="center"/>
    </xf>
    <xf numFmtId="165" fontId="3" fillId="4" borderId="31" xfId="0" applyNumberFormat="1" applyFont="1" applyFill="1" applyBorder="1" applyAlignment="1">
      <alignment horizontal="center" vertical="center"/>
    </xf>
    <xf numFmtId="44" fontId="0" fillId="0" borderId="28" xfId="2" applyFont="1" applyBorder="1" applyAlignment="1">
      <alignment horizontal="center" vertical="center"/>
    </xf>
    <xf numFmtId="44" fontId="3" fillId="4" borderId="3" xfId="2" applyFont="1" applyFill="1" applyBorder="1" applyAlignment="1">
      <alignment horizontal="center" vertical="center"/>
    </xf>
    <xf numFmtId="44" fontId="3" fillId="4" borderId="44" xfId="2" applyFont="1" applyFill="1" applyBorder="1" applyAlignment="1">
      <alignment horizontal="center" vertical="center"/>
    </xf>
    <xf numFmtId="164" fontId="0" fillId="0" borderId="54" xfId="0" applyNumberFormat="1" applyBorder="1" applyAlignment="1">
      <alignment horizontal="center" vertical="center"/>
    </xf>
    <xf numFmtId="164" fontId="0" fillId="0" borderId="70" xfId="0" applyNumberFormat="1" applyBorder="1" applyAlignment="1">
      <alignment horizontal="center" vertical="center"/>
    </xf>
    <xf numFmtId="164" fontId="0" fillId="0" borderId="72"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59" xfId="4" applyNumberFormat="1" applyFont="1" applyFill="1" applyBorder="1" applyAlignment="1">
      <alignment horizontal="center" vertical="center"/>
    </xf>
    <xf numFmtId="164" fontId="3" fillId="4" borderId="72" xfId="4" applyNumberFormat="1" applyFont="1" applyFill="1" applyBorder="1" applyAlignment="1">
      <alignment horizontal="center" vertical="center"/>
    </xf>
    <xf numFmtId="164" fontId="0" fillId="0" borderId="47" xfId="0" applyNumberFormat="1" applyBorder="1" applyAlignment="1">
      <alignment horizontal="center" vertical="center"/>
    </xf>
    <xf numFmtId="164" fontId="0" fillId="0" borderId="3" xfId="0" applyNumberFormat="1" applyBorder="1" applyAlignment="1">
      <alignment horizontal="center" vertical="center"/>
    </xf>
    <xf numFmtId="164" fontId="3" fillId="4" borderId="30" xfId="0" applyNumberFormat="1" applyFont="1" applyFill="1" applyBorder="1" applyAlignment="1">
      <alignment horizontal="center" vertical="center"/>
    </xf>
    <xf numFmtId="0" fontId="36" fillId="0" borderId="0" xfId="0" applyFont="1"/>
    <xf numFmtId="0" fontId="38" fillId="20" borderId="4" xfId="0" applyFont="1" applyFill="1" applyBorder="1" applyAlignment="1">
      <alignment horizontal="center" vertical="center"/>
    </xf>
    <xf numFmtId="0" fontId="38" fillId="20" borderId="4" xfId="0" applyFont="1" applyFill="1" applyBorder="1" applyAlignment="1">
      <alignment horizontal="center" vertical="center" wrapText="1"/>
    </xf>
    <xf numFmtId="0" fontId="39" fillId="0" borderId="4" xfId="0" applyFont="1" applyBorder="1"/>
    <xf numFmtId="10" fontId="16" fillId="0" borderId="4" xfId="0" applyNumberFormat="1" applyFont="1" applyBorder="1" applyAlignment="1">
      <alignment horizontal="center"/>
    </xf>
    <xf numFmtId="167" fontId="0" fillId="0" borderId="0" xfId="4" applyNumberFormat="1" applyFont="1"/>
    <xf numFmtId="0" fontId="0" fillId="0" borderId="89" xfId="0" applyBorder="1" applyAlignment="1">
      <alignment vertical="center" wrapText="1"/>
    </xf>
    <xf numFmtId="0" fontId="0" fillId="0" borderId="90" xfId="0" applyBorder="1" applyAlignment="1">
      <alignment horizontal="center" vertical="center"/>
    </xf>
    <xf numFmtId="165" fontId="0" fillId="0" borderId="67" xfId="2" applyNumberFormat="1" applyFont="1" applyBorder="1" applyAlignment="1">
      <alignment horizontal="center" vertical="center"/>
    </xf>
    <xf numFmtId="165" fontId="0" fillId="0" borderId="68" xfId="2" applyNumberFormat="1" applyFont="1" applyBorder="1" applyAlignment="1">
      <alignment horizontal="center" vertical="center"/>
    </xf>
    <xf numFmtId="1" fontId="0" fillId="0" borderId="68" xfId="0" applyNumberFormat="1" applyBorder="1" applyAlignment="1">
      <alignment horizontal="center" vertical="center"/>
    </xf>
    <xf numFmtId="164" fontId="30" fillId="0" borderId="67" xfId="4" applyNumberFormat="1" applyFont="1" applyFill="1" applyBorder="1" applyAlignment="1">
      <alignment horizontal="center" vertical="center"/>
    </xf>
    <xf numFmtId="164" fontId="30" fillId="0" borderId="68" xfId="4" applyNumberFormat="1" applyFont="1" applyFill="1" applyBorder="1" applyAlignment="1">
      <alignment horizontal="center" vertical="center"/>
    </xf>
    <xf numFmtId="164" fontId="30" fillId="0" borderId="91" xfId="4" applyNumberFormat="1" applyFont="1" applyFill="1" applyBorder="1" applyAlignment="1">
      <alignment horizontal="center" vertical="center"/>
    </xf>
    <xf numFmtId="0" fontId="3" fillId="4" borderId="30" xfId="0" applyFont="1" applyFill="1" applyBorder="1"/>
    <xf numFmtId="0" fontId="3" fillId="4" borderId="33" xfId="0" applyFont="1" applyFill="1" applyBorder="1"/>
    <xf numFmtId="0" fontId="3" fillId="4" borderId="30" xfId="0" applyFont="1" applyFill="1" applyBorder="1" applyAlignment="1">
      <alignment horizontal="center"/>
    </xf>
    <xf numFmtId="0" fontId="3" fillId="4" borderId="31" xfId="0" applyFont="1" applyFill="1" applyBorder="1" applyAlignment="1">
      <alignment horizontal="center"/>
    </xf>
    <xf numFmtId="165" fontId="3" fillId="4" borderId="30" xfId="2" applyNumberFormat="1" applyFont="1" applyFill="1" applyBorder="1" applyAlignment="1">
      <alignment horizontal="center"/>
    </xf>
    <xf numFmtId="165" fontId="3" fillId="4" borderId="31" xfId="2" applyNumberFormat="1" applyFont="1" applyFill="1" applyBorder="1" applyAlignment="1">
      <alignment horizontal="center"/>
    </xf>
    <xf numFmtId="3" fontId="3" fillId="4" borderId="30" xfId="0" applyNumberFormat="1" applyFont="1" applyFill="1" applyBorder="1" applyAlignment="1">
      <alignment horizontal="center"/>
    </xf>
    <xf numFmtId="3" fontId="3" fillId="4" borderId="31" xfId="0" applyNumberFormat="1" applyFont="1" applyFill="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171" fontId="30" fillId="0" borderId="30" xfId="0" applyNumberFormat="1" applyFont="1" applyBorder="1" applyAlignment="1">
      <alignment horizontal="center" vertical="center"/>
    </xf>
    <xf numFmtId="0" fontId="35" fillId="4" borderId="54" xfId="0" applyFont="1" applyFill="1" applyBorder="1" applyAlignment="1">
      <alignment horizontal="center" vertical="center" wrapText="1"/>
    </xf>
    <xf numFmtId="0" fontId="30" fillId="0" borderId="50" xfId="0" applyFont="1" applyBorder="1" applyAlignment="1">
      <alignment horizontal="center" vertical="center"/>
    </xf>
    <xf numFmtId="0" fontId="35" fillId="4" borderId="28" xfId="0" applyFont="1" applyFill="1" applyBorder="1" applyAlignment="1">
      <alignment horizontal="center" vertical="center" wrapText="1"/>
    </xf>
    <xf numFmtId="165" fontId="16" fillId="0" borderId="19" xfId="2" applyNumberFormat="1" applyFont="1" applyFill="1" applyBorder="1" applyAlignment="1">
      <alignment horizontal="center" vertical="center"/>
    </xf>
    <xf numFmtId="0" fontId="0" fillId="0" borderId="15" xfId="0" applyBorder="1" applyAlignment="1">
      <alignment horizontal="center" vertical="center"/>
    </xf>
    <xf numFmtId="0" fontId="34" fillId="3" borderId="33" xfId="0" applyFont="1" applyFill="1" applyBorder="1" applyAlignment="1">
      <alignment horizontal="center" vertical="center" wrapText="1"/>
    </xf>
    <xf numFmtId="0" fontId="35" fillId="4" borderId="35" xfId="0" applyFont="1" applyFill="1" applyBorder="1" applyAlignment="1">
      <alignment horizontal="center" vertical="center" wrapText="1"/>
    </xf>
    <xf numFmtId="0" fontId="30" fillId="0" borderId="33" xfId="0" applyFont="1" applyBorder="1" applyAlignment="1">
      <alignment horizontal="center" vertical="center"/>
    </xf>
    <xf numFmtId="164" fontId="30" fillId="3" borderId="35" xfId="4" applyNumberFormat="1" applyFont="1" applyFill="1" applyBorder="1" applyAlignment="1">
      <alignment vertical="center" wrapText="1"/>
    </xf>
    <xf numFmtId="164" fontId="30" fillId="0" borderId="67" xfId="4" applyNumberFormat="1" applyFont="1" applyBorder="1" applyAlignment="1">
      <alignment horizontal="center" vertical="center"/>
    </xf>
    <xf numFmtId="164" fontId="30" fillId="0" borderId="91" xfId="4" applyNumberFormat="1" applyFont="1" applyBorder="1" applyAlignment="1">
      <alignment horizontal="center" vertical="center"/>
    </xf>
    <xf numFmtId="164" fontId="30" fillId="0" borderId="68" xfId="4" applyNumberFormat="1" applyFont="1" applyBorder="1" applyAlignment="1">
      <alignment horizontal="center" vertical="center"/>
    </xf>
    <xf numFmtId="0" fontId="3" fillId="4" borderId="31" xfId="0" applyFont="1" applyFill="1" applyBorder="1"/>
    <xf numFmtId="165" fontId="3" fillId="4" borderId="30" xfId="2" applyNumberFormat="1" applyFont="1" applyFill="1" applyBorder="1"/>
    <xf numFmtId="165" fontId="3" fillId="4" borderId="31" xfId="2" applyNumberFormat="1" applyFont="1" applyFill="1" applyBorder="1"/>
    <xf numFmtId="164" fontId="3" fillId="4" borderId="31" xfId="4" applyNumberFormat="1" applyFont="1" applyFill="1" applyBorder="1" applyAlignment="1"/>
    <xf numFmtId="164" fontId="35" fillId="4" borderId="30" xfId="4" applyNumberFormat="1" applyFont="1" applyFill="1" applyBorder="1"/>
    <xf numFmtId="164" fontId="35" fillId="4" borderId="33" xfId="4" applyNumberFormat="1" applyFont="1" applyFill="1" applyBorder="1" applyAlignment="1"/>
    <xf numFmtId="164" fontId="35" fillId="4" borderId="31" xfId="4" applyNumberFormat="1" applyFont="1" applyFill="1" applyBorder="1" applyAlignment="1"/>
    <xf numFmtId="164" fontId="3" fillId="4" borderId="33" xfId="4" applyNumberFormat="1" applyFont="1" applyFill="1" applyBorder="1" applyAlignment="1"/>
    <xf numFmtId="164" fontId="3" fillId="6" borderId="30" xfId="4" applyNumberFormat="1" applyFont="1" applyFill="1" applyBorder="1" applyAlignment="1"/>
    <xf numFmtId="164" fontId="3" fillId="6" borderId="31" xfId="4" applyNumberFormat="1" applyFont="1" applyFill="1" applyBorder="1" applyAlignment="1"/>
    <xf numFmtId="164" fontId="3" fillId="4" borderId="30" xfId="4" applyNumberFormat="1" applyFont="1" applyFill="1" applyBorder="1" applyAlignment="1">
      <alignment horizontal="center"/>
    </xf>
    <xf numFmtId="164" fontId="3" fillId="4" borderId="31" xfId="4" applyNumberFormat="1" applyFont="1" applyFill="1" applyBorder="1" applyAlignment="1">
      <alignment horizontal="center"/>
    </xf>
    <xf numFmtId="0" fontId="3" fillId="4" borderId="92" xfId="0" applyFont="1" applyFill="1" applyBorder="1"/>
    <xf numFmtId="164" fontId="0" fillId="0" borderId="4" xfId="4" applyNumberFormat="1" applyFont="1" applyFill="1" applyBorder="1"/>
    <xf numFmtId="164" fontId="16" fillId="0" borderId="59" xfId="4" applyNumberFormat="1" applyFont="1" applyBorder="1" applyAlignment="1">
      <alignment horizontal="center"/>
    </xf>
    <xf numFmtId="0" fontId="7" fillId="3" borderId="93" xfId="0" applyFont="1" applyFill="1" applyBorder="1" applyAlignment="1">
      <alignment horizontal="center" vertical="center" wrapText="1"/>
    </xf>
    <xf numFmtId="164" fontId="16" fillId="0" borderId="94"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21" borderId="13" xfId="0" applyNumberFormat="1" applyFont="1" applyFill="1" applyBorder="1" applyAlignment="1">
      <alignment horizontal="center" vertical="center"/>
    </xf>
    <xf numFmtId="0" fontId="16" fillId="21" borderId="13" xfId="0" applyFont="1" applyFill="1" applyBorder="1" applyAlignment="1">
      <alignment horizontal="center" vertical="center"/>
    </xf>
    <xf numFmtId="0" fontId="16" fillId="21" borderId="68" xfId="0" applyFont="1" applyFill="1" applyBorder="1" applyAlignment="1">
      <alignment horizontal="center" vertical="center"/>
    </xf>
    <xf numFmtId="0" fontId="7" fillId="3" borderId="95" xfId="0" applyFont="1" applyFill="1" applyBorder="1" applyAlignment="1">
      <alignment horizontal="center" vertical="center" wrapText="1"/>
    </xf>
    <xf numFmtId="164" fontId="0" fillId="0" borderId="96" xfId="4" applyNumberFormat="1" applyFont="1" applyBorder="1" applyAlignment="1">
      <alignment horizontal="center" vertical="center"/>
    </xf>
    <xf numFmtId="164" fontId="0" fillId="0" borderId="2" xfId="4" applyNumberFormat="1" applyFont="1" applyBorder="1" applyAlignment="1">
      <alignment horizontal="center" vertical="center"/>
    </xf>
    <xf numFmtId="10" fontId="0" fillId="0" borderId="2" xfId="0" applyNumberFormat="1" applyFont="1" applyBorder="1" applyAlignment="1">
      <alignment horizontal="center" vertical="center"/>
    </xf>
    <xf numFmtId="9" fontId="0" fillId="0" borderId="44" xfId="0" applyNumberFormat="1" applyFont="1" applyBorder="1" applyAlignment="1">
      <alignment horizontal="center" vertical="center"/>
    </xf>
    <xf numFmtId="0" fontId="30" fillId="0" borderId="0" xfId="0" applyFont="1" applyAlignment="1">
      <alignment horizontal="left" vertical="top" wrapText="1"/>
    </xf>
    <xf numFmtId="171" fontId="0" fillId="0" borderId="0" xfId="0" applyNumberFormat="1"/>
    <xf numFmtId="171" fontId="0" fillId="0" borderId="0" xfId="0" applyNumberFormat="1" applyAlignment="1">
      <alignment wrapText="1"/>
    </xf>
    <xf numFmtId="0" fontId="0" fillId="0" borderId="97" xfId="0" applyBorder="1" applyAlignment="1">
      <alignment wrapText="1"/>
    </xf>
    <xf numFmtId="0" fontId="0" fillId="22" borderId="42" xfId="0" applyFill="1" applyBorder="1" applyAlignment="1">
      <alignment wrapText="1"/>
    </xf>
    <xf numFmtId="9" fontId="0" fillId="22" borderId="69" xfId="1" applyFont="1" applyFill="1" applyBorder="1" applyAlignment="1">
      <alignment wrapText="1"/>
    </xf>
    <xf numFmtId="0" fontId="0" fillId="0" borderId="71" xfId="0" applyBorder="1" applyAlignment="1">
      <alignment wrapText="1"/>
    </xf>
    <xf numFmtId="0" fontId="0" fillId="7" borderId="36" xfId="0" applyFill="1" applyBorder="1" applyAlignment="1">
      <alignment horizontal="left" vertical="center"/>
    </xf>
    <xf numFmtId="164" fontId="0" fillId="0" borderId="4" xfId="1" applyNumberFormat="1" applyFont="1" applyFill="1" applyBorder="1" applyAlignment="1">
      <alignment horizontal="right" wrapText="1"/>
    </xf>
    <xf numFmtId="9" fontId="0" fillId="0" borderId="4" xfId="1" applyFont="1" applyFill="1" applyBorder="1" applyAlignment="1">
      <alignment horizontal="right"/>
    </xf>
    <xf numFmtId="0" fontId="26" fillId="7" borderId="82" xfId="8" applyFont="1" applyFill="1" applyBorder="1" applyAlignment="1">
      <alignment horizontal="center" vertical="center" wrapText="1"/>
    </xf>
    <xf numFmtId="167" fontId="0" fillId="0" borderId="0" xfId="0" applyNumberFormat="1"/>
    <xf numFmtId="170" fontId="0" fillId="0" borderId="0" xfId="0" applyNumberFormat="1"/>
    <xf numFmtId="164" fontId="13" fillId="0" borderId="1" xfId="4" applyNumberFormat="1" applyFont="1" applyFill="1" applyBorder="1" applyAlignment="1">
      <alignment horizontal="center" vertical="center"/>
    </xf>
    <xf numFmtId="164" fontId="13" fillId="0" borderId="16" xfId="4" applyNumberFormat="1" applyFont="1" applyFill="1" applyBorder="1" applyAlignment="1">
      <alignment horizontal="center" vertical="center"/>
    </xf>
    <xf numFmtId="164" fontId="13" fillId="0" borderId="6" xfId="4" applyNumberFormat="1" applyFont="1" applyFill="1" applyBorder="1" applyAlignment="1">
      <alignment horizontal="center" vertical="center"/>
    </xf>
    <xf numFmtId="164" fontId="13" fillId="0" borderId="23" xfId="4" applyNumberFormat="1" applyFont="1" applyFill="1" applyBorder="1" applyAlignment="1">
      <alignment horizontal="center" vertical="center"/>
    </xf>
    <xf numFmtId="164" fontId="42" fillId="4" borderId="30" xfId="4" applyNumberFormat="1" applyFont="1" applyFill="1" applyBorder="1" applyAlignment="1">
      <alignment horizontal="center"/>
    </xf>
    <xf numFmtId="164" fontId="42" fillId="4" borderId="33" xfId="4" applyNumberFormat="1" applyFont="1" applyFill="1" applyBorder="1" applyAlignment="1">
      <alignment horizontal="center"/>
    </xf>
    <xf numFmtId="164" fontId="42" fillId="4" borderId="31" xfId="4" applyNumberFormat="1" applyFont="1" applyFill="1" applyBorder="1" applyAlignment="1">
      <alignment horizontal="center"/>
    </xf>
    <xf numFmtId="164" fontId="43" fillId="0" borderId="30" xfId="4" applyNumberFormat="1" applyFont="1" applyBorder="1" applyAlignment="1">
      <alignment horizontal="center"/>
    </xf>
    <xf numFmtId="164" fontId="43" fillId="0" borderId="33" xfId="4" applyNumberFormat="1" applyFont="1" applyFill="1" applyBorder="1" applyAlignment="1">
      <alignment horizontal="center"/>
    </xf>
    <xf numFmtId="164" fontId="43" fillId="0" borderId="31" xfId="4" applyNumberFormat="1" applyFont="1" applyFill="1" applyBorder="1" applyAlignment="1">
      <alignment horizontal="center"/>
    </xf>
    <xf numFmtId="164" fontId="42" fillId="4" borderId="7" xfId="4" applyNumberFormat="1" applyFont="1" applyFill="1" applyBorder="1" applyAlignment="1">
      <alignment horizontal="center"/>
    </xf>
    <xf numFmtId="164" fontId="42" fillId="4" borderId="34" xfId="4" applyNumberFormat="1" applyFont="1" applyFill="1" applyBorder="1" applyAlignment="1">
      <alignment horizontal="center"/>
    </xf>
    <xf numFmtId="164" fontId="42" fillId="4" borderId="14" xfId="4" applyNumberFormat="1" applyFont="1" applyFill="1" applyBorder="1" applyAlignment="1">
      <alignment horizontal="center"/>
    </xf>
    <xf numFmtId="164" fontId="43" fillId="3" borderId="28" xfId="4" applyNumberFormat="1" applyFont="1" applyFill="1" applyBorder="1" applyAlignment="1">
      <alignment vertical="center" wrapText="1"/>
    </xf>
    <xf numFmtId="164" fontId="43" fillId="3" borderId="35" xfId="4" applyNumberFormat="1" applyFont="1" applyFill="1" applyBorder="1" applyAlignment="1">
      <alignment vertical="center" wrapText="1"/>
    </xf>
    <xf numFmtId="164" fontId="43" fillId="3" borderId="29" xfId="4" applyNumberFormat="1" applyFont="1" applyFill="1" applyBorder="1" applyAlignment="1">
      <alignment vertical="center" wrapText="1"/>
    </xf>
    <xf numFmtId="164" fontId="42" fillId="6" borderId="7" xfId="4" applyNumberFormat="1" applyFont="1" applyFill="1" applyBorder="1" applyAlignment="1"/>
    <xf numFmtId="164" fontId="42" fillId="6" borderId="34" xfId="4" applyNumberFormat="1" applyFont="1" applyFill="1" applyBorder="1" applyAlignment="1"/>
    <xf numFmtId="164" fontId="42" fillId="6" borderId="14" xfId="4" applyNumberFormat="1" applyFont="1" applyFill="1" applyBorder="1" applyAlignment="1"/>
    <xf numFmtId="164" fontId="0" fillId="0" borderId="1" xfId="4" applyNumberFormat="1" applyFont="1" applyBorder="1" applyAlignment="1">
      <alignment horizontal="center" vertical="center"/>
    </xf>
    <xf numFmtId="164" fontId="0" fillId="0" borderId="6" xfId="4" applyNumberFormat="1" applyFont="1" applyBorder="1" applyAlignment="1">
      <alignment horizontal="center" vertical="center"/>
    </xf>
    <xf numFmtId="0" fontId="44" fillId="3" borderId="5" xfId="0" applyFont="1" applyFill="1" applyBorder="1" applyAlignment="1">
      <alignment horizontal="center" vertical="center" wrapText="1"/>
    </xf>
    <xf numFmtId="0" fontId="31" fillId="0" borderId="0" xfId="0" applyFont="1" applyAlignment="1">
      <alignment vertical="top"/>
    </xf>
    <xf numFmtId="170" fontId="19" fillId="0" borderId="47" xfId="0" applyNumberFormat="1" applyFont="1" applyBorder="1" applyAlignment="1">
      <alignment wrapText="1"/>
    </xf>
    <xf numFmtId="0" fontId="0" fillId="23" borderId="57" xfId="0" applyFill="1" applyBorder="1" applyAlignment="1">
      <alignment wrapText="1"/>
    </xf>
    <xf numFmtId="164" fontId="0" fillId="0" borderId="39" xfId="4" applyNumberFormat="1" applyFont="1" applyBorder="1" applyAlignment="1">
      <alignment wrapText="1"/>
    </xf>
    <xf numFmtId="165" fontId="0" fillId="0" borderId="60" xfId="2" applyNumberFormat="1" applyFont="1" applyFill="1" applyBorder="1" applyAlignment="1">
      <alignment vertical="center" wrapText="1"/>
    </xf>
    <xf numFmtId="164" fontId="0" fillId="0" borderId="47" xfId="4" applyNumberFormat="1" applyFont="1" applyBorder="1" applyAlignment="1">
      <alignment wrapText="1"/>
    </xf>
    <xf numFmtId="167" fontId="0" fillId="0" borderId="47" xfId="0" applyNumberFormat="1" applyBorder="1" applyAlignment="1">
      <alignment wrapText="1"/>
    </xf>
    <xf numFmtId="165" fontId="0" fillId="0" borderId="60" xfId="2" applyNumberFormat="1" applyFont="1" applyFill="1" applyBorder="1" applyAlignment="1">
      <alignment horizontal="center" vertical="center" wrapText="1"/>
    </xf>
    <xf numFmtId="165" fontId="0" fillId="0" borderId="74" xfId="2" applyNumberFormat="1" applyFont="1" applyFill="1" applyBorder="1" applyAlignment="1">
      <alignment horizontal="center" vertical="center" wrapText="1"/>
    </xf>
    <xf numFmtId="164" fontId="0" fillId="0" borderId="48" xfId="4" applyNumberFormat="1" applyFont="1" applyBorder="1" applyAlignment="1">
      <alignment wrapText="1"/>
    </xf>
    <xf numFmtId="164" fontId="0" fillId="0" borderId="48" xfId="4" applyNumberFormat="1" applyFont="1" applyFill="1" applyBorder="1" applyAlignment="1">
      <alignment wrapText="1"/>
    </xf>
    <xf numFmtId="167" fontId="0" fillId="0" borderId="48" xfId="4" applyNumberFormat="1" applyFont="1" applyFill="1" applyBorder="1" applyAlignment="1">
      <alignment wrapText="1"/>
    </xf>
    <xf numFmtId="164" fontId="0" fillId="0" borderId="56" xfId="4" applyNumberFormat="1" applyFont="1" applyBorder="1" applyAlignment="1">
      <alignment wrapText="1"/>
    </xf>
    <xf numFmtId="164" fontId="0" fillId="0" borderId="70" xfId="4" applyNumberFormat="1" applyFont="1" applyBorder="1" applyAlignment="1">
      <alignment wrapText="1"/>
    </xf>
    <xf numFmtId="43" fontId="0" fillId="0" borderId="70" xfId="4" applyFont="1" applyBorder="1" applyAlignment="1">
      <alignment wrapText="1"/>
    </xf>
    <xf numFmtId="164" fontId="0" fillId="0" borderId="32" xfId="4" applyNumberFormat="1" applyFont="1" applyBorder="1" applyAlignment="1">
      <alignment wrapText="1"/>
    </xf>
    <xf numFmtId="164" fontId="0" fillId="0" borderId="60" xfId="4" applyNumberFormat="1" applyFont="1" applyFill="1" applyBorder="1" applyAlignment="1">
      <alignment wrapText="1"/>
    </xf>
    <xf numFmtId="164" fontId="0" fillId="0" borderId="90" xfId="4" applyNumberFormat="1" applyFont="1" applyBorder="1" applyAlignment="1">
      <alignment wrapText="1"/>
    </xf>
    <xf numFmtId="164" fontId="0" fillId="0" borderId="36" xfId="4" applyNumberFormat="1" applyFont="1" applyBorder="1" applyAlignment="1">
      <alignment wrapText="1"/>
    </xf>
    <xf numFmtId="164" fontId="0" fillId="23" borderId="13" xfId="4" applyNumberFormat="1" applyFont="1" applyFill="1" applyBorder="1" applyAlignment="1">
      <alignment wrapText="1"/>
    </xf>
    <xf numFmtId="0" fontId="0" fillId="23" borderId="36" xfId="0" applyFill="1" applyBorder="1" applyAlignment="1">
      <alignment wrapText="1"/>
    </xf>
    <xf numFmtId="164" fontId="0" fillId="0" borderId="43" xfId="4" applyNumberFormat="1" applyFont="1" applyBorder="1" applyAlignment="1">
      <alignment wrapText="1"/>
    </xf>
    <xf numFmtId="167" fontId="19" fillId="0" borderId="48" xfId="4" applyNumberFormat="1" applyFont="1" applyFill="1" applyBorder="1" applyAlignment="1">
      <alignment wrapText="1"/>
    </xf>
    <xf numFmtId="167" fontId="19" fillId="0" borderId="36" xfId="4" applyNumberFormat="1" applyFont="1" applyFill="1" applyBorder="1" applyAlignment="1">
      <alignment wrapText="1"/>
    </xf>
    <xf numFmtId="167" fontId="19" fillId="0" borderId="32" xfId="4" applyNumberFormat="1" applyFont="1" applyFill="1" applyBorder="1" applyAlignment="1">
      <alignment wrapText="1"/>
    </xf>
    <xf numFmtId="167" fontId="19" fillId="0" borderId="56" xfId="4" applyNumberFormat="1" applyFont="1" applyFill="1" applyBorder="1" applyAlignment="1">
      <alignment wrapText="1"/>
    </xf>
    <xf numFmtId="43" fontId="19" fillId="0" borderId="70" xfId="4" applyFont="1" applyFill="1" applyBorder="1" applyAlignment="1">
      <alignment wrapText="1"/>
    </xf>
    <xf numFmtId="167" fontId="19" fillId="0" borderId="13" xfId="4" applyNumberFormat="1" applyFont="1" applyFill="1" applyBorder="1" applyAlignment="1">
      <alignment wrapText="1"/>
    </xf>
    <xf numFmtId="167" fontId="0" fillId="0" borderId="56" xfId="4" applyNumberFormat="1" applyFont="1" applyFill="1" applyBorder="1" applyAlignment="1">
      <alignment wrapText="1"/>
    </xf>
    <xf numFmtId="167" fontId="0" fillId="0" borderId="32" xfId="4" applyNumberFormat="1" applyFont="1" applyFill="1" applyBorder="1" applyAlignment="1">
      <alignment wrapText="1"/>
    </xf>
    <xf numFmtId="167" fontId="0" fillId="0" borderId="90" xfId="4" applyNumberFormat="1" applyFont="1" applyFill="1" applyBorder="1" applyAlignment="1">
      <alignment wrapText="1"/>
    </xf>
    <xf numFmtId="164" fontId="0" fillId="23" borderId="51" xfId="4" applyNumberFormat="1" applyFont="1" applyFill="1" applyBorder="1" applyAlignment="1">
      <alignment wrapText="1"/>
    </xf>
    <xf numFmtId="164" fontId="0" fillId="0" borderId="72" xfId="4" applyNumberFormat="1" applyFont="1" applyBorder="1" applyAlignment="1">
      <alignment wrapText="1"/>
    </xf>
    <xf numFmtId="167" fontId="19" fillId="0" borderId="47" xfId="4" applyNumberFormat="1" applyFont="1" applyFill="1" applyBorder="1" applyAlignment="1">
      <alignment wrapText="1"/>
    </xf>
    <xf numFmtId="164" fontId="0" fillId="0" borderId="47" xfId="4" applyNumberFormat="1" applyFont="1" applyFill="1" applyBorder="1" applyAlignment="1">
      <alignment wrapText="1"/>
    </xf>
    <xf numFmtId="0" fontId="7" fillId="3" borderId="28" xfId="0" applyFont="1" applyFill="1" applyBorder="1" applyAlignment="1">
      <alignment horizontal="center" vertical="center" wrapText="1"/>
    </xf>
    <xf numFmtId="0" fontId="7" fillId="3" borderId="20" xfId="0" applyFont="1" applyFill="1" applyBorder="1" applyAlignment="1">
      <alignment horizontal="center" vertical="center" wrapText="1"/>
    </xf>
    <xf numFmtId="164" fontId="7" fillId="3" borderId="29" xfId="4" applyNumberFormat="1" applyFont="1" applyFill="1" applyBorder="1" applyAlignment="1">
      <alignment horizontal="center" vertical="center" wrapText="1"/>
    </xf>
    <xf numFmtId="0" fontId="7" fillId="3" borderId="27" xfId="4" applyNumberFormat="1" applyFont="1" applyFill="1" applyBorder="1" applyAlignment="1">
      <alignment horizontal="center" vertical="center"/>
    </xf>
    <xf numFmtId="0" fontId="0" fillId="0" borderId="98" xfId="0" applyBorder="1" applyAlignment="1">
      <alignment wrapText="1"/>
    </xf>
    <xf numFmtId="9" fontId="0" fillId="0" borderId="68" xfId="1" applyFont="1" applyBorder="1" applyAlignment="1">
      <alignment wrapText="1"/>
    </xf>
    <xf numFmtId="9" fontId="0" fillId="23" borderId="43" xfId="1" applyFont="1" applyFill="1" applyBorder="1" applyAlignment="1">
      <alignment wrapText="1"/>
    </xf>
    <xf numFmtId="0" fontId="0" fillId="23" borderId="0" xfId="0" applyFill="1" applyAlignment="1">
      <alignment wrapText="1"/>
    </xf>
    <xf numFmtId="9" fontId="0" fillId="23" borderId="71" xfId="1" applyFont="1" applyFill="1" applyBorder="1" applyAlignment="1">
      <alignment wrapText="1"/>
    </xf>
    <xf numFmtId="0" fontId="0" fillId="0" borderId="99" xfId="0" applyBorder="1" applyAlignment="1">
      <alignment wrapText="1"/>
    </xf>
    <xf numFmtId="0" fontId="0" fillId="23" borderId="12" xfId="0" applyFill="1" applyBorder="1" applyAlignment="1">
      <alignment wrapText="1"/>
    </xf>
    <xf numFmtId="9" fontId="0" fillId="23" borderId="62" xfId="1" applyFont="1" applyFill="1" applyBorder="1" applyAlignment="1">
      <alignment wrapText="1"/>
    </xf>
    <xf numFmtId="0" fontId="41" fillId="0" borderId="0" xfId="0" applyFont="1" applyAlignment="1">
      <alignment vertical="top"/>
    </xf>
    <xf numFmtId="0" fontId="0" fillId="0" borderId="0" xfId="0" applyFill="1"/>
    <xf numFmtId="166" fontId="3" fillId="9" borderId="8" xfId="1" applyNumberFormat="1" applyFont="1" applyFill="1" applyBorder="1" applyAlignment="1">
      <alignment horizontal="center"/>
    </xf>
    <xf numFmtId="0" fontId="0" fillId="0" borderId="56" xfId="0" applyBorder="1" applyAlignment="1">
      <alignment horizontal="right"/>
    </xf>
    <xf numFmtId="0" fontId="0" fillId="0" borderId="48" xfId="0" applyBorder="1" applyAlignment="1">
      <alignment horizontal="right"/>
    </xf>
    <xf numFmtId="0" fontId="31" fillId="0" borderId="4" xfId="0" applyFont="1" applyBorder="1" applyAlignment="1">
      <alignment horizontal="left" vertical="top" wrapText="1"/>
    </xf>
    <xf numFmtId="0" fontId="0" fillId="0" borderId="4" xfId="0" applyBorder="1" applyAlignment="1">
      <alignment horizontal="left" vertical="top" wrapText="1"/>
    </xf>
    <xf numFmtId="0" fontId="0" fillId="11" borderId="56" xfId="0" applyFill="1" applyBorder="1" applyAlignment="1" applyProtection="1">
      <alignment horizontal="center" vertical="center"/>
      <protection hidden="1"/>
    </xf>
    <xf numFmtId="0" fontId="0" fillId="11" borderId="48" xfId="0" applyFill="1" applyBorder="1" applyAlignment="1" applyProtection="1">
      <alignment horizontal="center" vertical="center"/>
      <protection hidden="1"/>
    </xf>
    <xf numFmtId="0" fontId="0" fillId="24" borderId="58" xfId="0" applyFill="1" applyBorder="1" applyAlignment="1" applyProtection="1">
      <alignment horizontal="center" vertical="center"/>
      <protection hidden="1"/>
    </xf>
    <xf numFmtId="0" fontId="0" fillId="24" borderId="56" xfId="0" applyFill="1" applyBorder="1" applyAlignment="1" applyProtection="1">
      <alignment horizontal="center" vertical="center"/>
      <protection hidden="1"/>
    </xf>
    <xf numFmtId="0" fontId="0" fillId="24" borderId="48" xfId="0" applyFill="1" applyBorder="1" applyAlignment="1" applyProtection="1">
      <alignment horizontal="center" vertical="center"/>
      <protection hidden="1"/>
    </xf>
    <xf numFmtId="0" fontId="0" fillId="25" borderId="58" xfId="0" applyFill="1" applyBorder="1" applyAlignment="1" applyProtection="1">
      <alignment horizontal="center" vertical="center" wrapText="1"/>
      <protection hidden="1"/>
    </xf>
    <xf numFmtId="0" fontId="0" fillId="25" borderId="56" xfId="0" applyFill="1" applyBorder="1" applyAlignment="1" applyProtection="1">
      <alignment horizontal="center" vertical="center" wrapText="1"/>
      <protection hidden="1"/>
    </xf>
    <xf numFmtId="0" fontId="0" fillId="25" borderId="48" xfId="0" applyFill="1" applyBorder="1" applyAlignment="1" applyProtection="1">
      <alignment horizontal="center" vertical="center" wrapText="1"/>
      <protection hidden="1"/>
    </xf>
    <xf numFmtId="0" fontId="6" fillId="3" borderId="0" xfId="0" applyFont="1" applyFill="1" applyAlignment="1">
      <alignment horizontal="center" vertical="center"/>
    </xf>
    <xf numFmtId="0" fontId="6" fillId="3" borderId="11"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5" borderId="66" xfId="0" applyFont="1" applyFill="1" applyBorder="1" applyAlignment="1">
      <alignment horizontal="center" vertical="center"/>
    </xf>
    <xf numFmtId="0" fontId="0" fillId="0" borderId="24" xfId="0" applyBorder="1" applyAlignment="1">
      <alignment horizontal="left" vertical="center"/>
    </xf>
    <xf numFmtId="0" fontId="0" fillId="0" borderId="49" xfId="0" applyBorder="1" applyAlignment="1">
      <alignment horizontal="left" vertical="center"/>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86" xfId="0" applyBorder="1" applyAlignment="1">
      <alignment horizontal="left" vertical="center" wrapText="1"/>
    </xf>
    <xf numFmtId="0" fontId="0" fillId="0" borderId="20" xfId="0" applyBorder="1" applyAlignment="1">
      <alignment horizontal="left" vertical="center" wrapText="1"/>
    </xf>
    <xf numFmtId="0" fontId="0" fillId="0" borderId="37" xfId="0" applyBorder="1" applyAlignment="1">
      <alignment horizontal="left" vertical="center" wrapText="1"/>
    </xf>
    <xf numFmtId="0" fontId="0" fillId="7" borderId="24" xfId="0" applyFill="1" applyBorder="1" applyAlignment="1">
      <alignment horizontal="left" vertical="center"/>
    </xf>
    <xf numFmtId="0" fontId="0" fillId="7" borderId="49" xfId="0" applyFill="1" applyBorder="1" applyAlignment="1">
      <alignment horizontal="left" vertical="center"/>
    </xf>
    <xf numFmtId="164" fontId="7" fillId="3" borderId="12" xfId="4" applyNumberFormat="1" applyFont="1" applyFill="1" applyBorder="1" applyAlignment="1">
      <alignment horizontal="center" vertical="center" wrapText="1"/>
    </xf>
    <xf numFmtId="164" fontId="7" fillId="5" borderId="21" xfId="4" applyNumberFormat="1" applyFont="1" applyFill="1" applyBorder="1" applyAlignment="1">
      <alignment horizontal="center" vertical="center" wrapText="1"/>
    </xf>
    <xf numFmtId="164" fontId="7" fillId="5" borderId="62" xfId="4"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54" xfId="0" applyFont="1" applyFill="1" applyBorder="1" applyAlignment="1">
      <alignment horizontal="center" vertical="center"/>
    </xf>
    <xf numFmtId="0" fontId="0" fillId="0" borderId="24" xfId="0" applyBorder="1" applyAlignment="1">
      <alignment horizontal="left" vertical="center" wrapText="1"/>
    </xf>
    <xf numFmtId="0" fontId="0" fillId="0" borderId="49" xfId="0" applyBorder="1" applyAlignment="1">
      <alignment horizontal="left" vertical="center" wrapText="1"/>
    </xf>
    <xf numFmtId="0" fontId="6" fillId="3" borderId="20" xfId="0" applyFont="1" applyFill="1" applyBorder="1" applyAlignment="1">
      <alignment horizontal="center" vertical="center" wrapText="1"/>
    </xf>
    <xf numFmtId="164" fontId="7" fillId="3" borderId="21" xfId="4" applyNumberFormat="1" applyFont="1" applyFill="1" applyBorder="1" applyAlignment="1">
      <alignment horizontal="center" vertical="center" wrapText="1"/>
    </xf>
    <xf numFmtId="164" fontId="7" fillId="3" borderId="62" xfId="4" applyNumberFormat="1" applyFont="1" applyFill="1" applyBorder="1" applyAlignment="1">
      <alignment horizontal="center" vertical="center" wrapText="1"/>
    </xf>
    <xf numFmtId="0" fontId="0" fillId="0" borderId="22" xfId="0" applyBorder="1" applyAlignment="1">
      <alignment horizontal="left" vertical="center" wrapText="1"/>
    </xf>
    <xf numFmtId="0" fontId="0" fillId="0" borderId="38" xfId="0" applyBorder="1" applyAlignment="1">
      <alignment horizontal="left" vertical="center" wrapText="1"/>
    </xf>
    <xf numFmtId="0" fontId="0" fillId="0" borderId="26" xfId="0" applyBorder="1" applyAlignment="1">
      <alignment horizontal="left" vertical="center" wrapText="1"/>
    </xf>
    <xf numFmtId="0" fontId="24" fillId="3" borderId="20" xfId="8" applyFont="1" applyFill="1" applyBorder="1" applyAlignment="1">
      <alignment horizontal="center" vertical="center" wrapText="1"/>
    </xf>
    <xf numFmtId="0" fontId="0" fillId="3" borderId="11" xfId="0" applyFont="1" applyFill="1" applyBorder="1" applyAlignment="1">
      <alignment wrapText="1"/>
    </xf>
    <xf numFmtId="0" fontId="0" fillId="3" borderId="54" xfId="0" applyFont="1" applyFill="1" applyBorder="1" applyAlignment="1">
      <alignment wrapText="1"/>
    </xf>
    <xf numFmtId="0" fontId="0" fillId="3" borderId="21" xfId="0" applyFont="1" applyFill="1" applyBorder="1" applyAlignment="1">
      <alignment wrapText="1"/>
    </xf>
    <xf numFmtId="0" fontId="0" fillId="3" borderId="12" xfId="0" applyFont="1" applyFill="1" applyBorder="1" applyAlignment="1">
      <alignment wrapText="1"/>
    </xf>
    <xf numFmtId="0" fontId="0" fillId="3" borderId="62" xfId="0" applyFont="1" applyFill="1" applyBorder="1" applyAlignment="1">
      <alignment wrapText="1"/>
    </xf>
  </cellXfs>
  <cellStyles count="10">
    <cellStyle name="Comma" xfId="4"/>
    <cellStyle name="Comma [0]" xfId="5"/>
    <cellStyle name="Currency" xfId="2"/>
    <cellStyle name="Currency [0]" xfId="3"/>
    <cellStyle name="Good" xfId="7"/>
    <cellStyle name="Normal" xfId="0" builtinId="0"/>
    <cellStyle name="Normal 10 2" xfId="6"/>
    <cellStyle name="Normal 2" xfId="9"/>
    <cellStyle name="Normal_Revised Exhibit 1_021810_Eberts" xfId="8"/>
    <cellStyle name="Percent" xfId="1"/>
  </cellStyles>
  <dxfs count="2">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latin typeface="+mn-lt"/>
                <a:ea typeface="+mn-lt"/>
                <a:cs typeface="+mn-lt"/>
              </a:rPr>
              <a:t>YTD Performance</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'Tables 2-6'!$M$1:$N$1</c:f>
              <c:strCache>
                <c:ptCount val="2"/>
                <c:pt idx="0">
                  <c:v>Annual Energy Savings</c:v>
                </c:pt>
                <c:pt idx="1">
                  <c:v>Expenditures</c:v>
                </c:pt>
              </c:strCache>
            </c:strRef>
          </c:cat>
          <c:val>
            <c:numRef>
              <c:f>'Tables 2-6'!$M$3:$N$3</c:f>
              <c:numCache>
                <c:formatCode>0%</c:formatCode>
                <c:ptCount val="2"/>
                <c:pt idx="0">
                  <c:v>0.53737018968981454</c:v>
                </c:pt>
                <c:pt idx="1">
                  <c:v>0.23963908938575726</c:v>
                </c:pt>
              </c:numCache>
            </c:numRef>
          </c:val>
          <c:extLst>
            <c:ext xmlns:c16="http://schemas.microsoft.com/office/drawing/2014/chart" uri="{C3380CC4-5D6E-409C-BE32-E72D297353CC}">
              <c16:uniqueId val="{00000000-3354-445B-B2E5-F8F3DDA801A2}"/>
            </c:ext>
          </c:extLst>
        </c:ser>
        <c:dLbls>
          <c:showLegendKey val="0"/>
          <c:showVal val="0"/>
          <c:showCatName val="0"/>
          <c:showSerName val="0"/>
          <c:showPercent val="0"/>
          <c:showBubbleSize val="0"/>
        </c:dLbls>
        <c:gapWidth val="219"/>
        <c:overlap val="-27"/>
        <c:axId val="16654860"/>
        <c:axId val="59292687"/>
      </c:barChart>
      <c:catAx>
        <c:axId val="16654860"/>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a:effectLst/>
        </c:spPr>
        <c:txPr>
          <a:bodyPr/>
          <a:lstStyle/>
          <a:p>
            <a:pPr>
              <a:defRPr lang="en-US" sz="900" b="0" i="0" u="none" baseline="0">
                <a:solidFill>
                  <a:schemeClr val="tx1">
                    <a:lumMod val="65000"/>
                    <a:lumOff val="35000"/>
                  </a:schemeClr>
                </a:solidFill>
              </a:defRPr>
            </a:pPr>
            <a:endParaRPr lang="en-US"/>
          </a:p>
        </c:txPr>
        <c:crossAx val="59292687"/>
        <c:crosses val="autoZero"/>
        <c:auto val="1"/>
        <c:lblAlgn val="ctr"/>
        <c:lblOffset val="100"/>
        <c:noMultiLvlLbl val="0"/>
      </c:catAx>
      <c:valAx>
        <c:axId val="59292687"/>
        <c:scaling>
          <c:orientation val="minMax"/>
          <c:max val="1"/>
          <c:min val="0"/>
        </c:scaling>
        <c:delete val="0"/>
        <c:axPos val="l"/>
        <c:majorGridlines>
          <c:spPr>
            <a:ln w="9525" cap="flat" cmpd="sng">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a:lstStyle/>
          <a:p>
            <a:pPr>
              <a:defRPr lang="en-US" sz="900" b="0" i="0" u="none" baseline="0">
                <a:solidFill>
                  <a:schemeClr val="tx1">
                    <a:lumMod val="65000"/>
                    <a:lumOff val="35000"/>
                  </a:schemeClr>
                </a:solidFill>
              </a:defRPr>
            </a:pPr>
            <a:endParaRPr lang="en-US"/>
          </a:p>
        </c:txPr>
        <c:crossAx val="16654860"/>
        <c:crosses val="autoZero"/>
        <c:crossBetween val="between"/>
        <c:majorUnit val="0.1"/>
      </c:valAx>
      <c:spPr>
        <a:noFill/>
        <a:ln>
          <a:noFill/>
        </a:ln>
        <a:effectLst/>
      </c:spPr>
    </c:plotArea>
    <c:plotVisOnly val="1"/>
    <c:dispBlanksAs val="gap"/>
    <c:showDLblsOverMax val="1"/>
  </c:chart>
  <c:spPr>
    <a:solidFill>
      <a:schemeClr val="bg1"/>
    </a:solidFill>
    <a:ln w="9525" cap="flat" cmpd="sng">
      <a:solidFill>
        <a:schemeClr val="tx1">
          <a:lumMod val="15000"/>
          <a:lumOff val="85000"/>
        </a:schemeClr>
      </a:solidFill>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447674</xdr:colOff>
      <xdr:row>5</xdr:row>
      <xdr:rowOff>0</xdr:rowOff>
    </xdr:from>
    <xdr:to>
      <xdr:col>17</xdr:col>
      <xdr:colOff>597476</xdr:colOff>
      <xdr:row>22</xdr:row>
      <xdr:rowOff>147204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5422223578601"/>
  </sheetPr>
  <dimension ref="A1:I6"/>
  <sheetViews>
    <sheetView tabSelected="1" zoomScale="70" zoomScaleNormal="70" workbookViewId="0"/>
  </sheetViews>
  <sheetFormatPr defaultColWidth="9.140625" defaultRowHeight="15"/>
  <cols>
    <col min="2" max="9" width="18" customWidth="1"/>
  </cols>
  <sheetData>
    <row r="1" spans="1:9" ht="15.75" thickBot="1"/>
    <row r="2" spans="1:9" ht="48">
      <c r="B2" s="20" t="s">
        <v>0</v>
      </c>
      <c r="C2" s="28" t="s">
        <v>1</v>
      </c>
      <c r="D2" s="28" t="s">
        <v>2</v>
      </c>
      <c r="E2" s="28" t="s">
        <v>3</v>
      </c>
      <c r="F2" s="724" t="s">
        <v>286</v>
      </c>
      <c r="G2" s="28" t="s">
        <v>4</v>
      </c>
      <c r="H2" s="28" t="s">
        <v>5</v>
      </c>
      <c r="I2" s="467" t="s">
        <v>6</v>
      </c>
    </row>
    <row r="3" spans="1:9" ht="15.75" thickBot="1">
      <c r="B3" s="468" t="s">
        <v>7</v>
      </c>
      <c r="C3" s="469" t="s">
        <v>8</v>
      </c>
      <c r="D3" s="469" t="s">
        <v>9</v>
      </c>
      <c r="E3" s="469" t="s">
        <v>10</v>
      </c>
      <c r="F3" s="469" t="s">
        <v>11</v>
      </c>
      <c r="G3" s="469" t="s">
        <v>12</v>
      </c>
      <c r="H3" s="469" t="s">
        <v>13</v>
      </c>
      <c r="I3" s="470" t="s">
        <v>14</v>
      </c>
    </row>
    <row r="4" spans="1:9" ht="39.75" customHeight="1">
      <c r="A4" s="679" t="s">
        <v>15</v>
      </c>
      <c r="B4" s="680">
        <f>'Ap B - Qtr Electric Master'!L39-'Table 1'!D4</f>
        <v>12576.102963919951</v>
      </c>
      <c r="C4" s="680">
        <f>'Tables 2-6'!B43</f>
        <v>128</v>
      </c>
      <c r="D4" s="681">
        <f>'Ap B - Qtr Electric Master'!L16+'Ap B - Qtr Electric Master'!L18</f>
        <v>3531.2954811920004</v>
      </c>
      <c r="E4" s="681">
        <f>SUM(B4:D4)</f>
        <v>16235.398445111952</v>
      </c>
      <c r="F4" s="682"/>
      <c r="G4" s="683"/>
      <c r="H4" s="683"/>
      <c r="I4" s="684"/>
    </row>
    <row r="5" spans="1:9" ht="40.5" customHeight="1" thickBot="1">
      <c r="A5" s="685" t="s">
        <v>16</v>
      </c>
      <c r="B5" s="686">
        <f>'Ap B - Qtr Electric Master'!N39-'Table 1'!D5</f>
        <v>25379.392855000002</v>
      </c>
      <c r="C5" s="686">
        <f>'Tables 2-6'!C43</f>
        <v>215</v>
      </c>
      <c r="D5" s="687">
        <f>'Ap B - Qtr Electric Master'!N16+'Ap B - Qtr Electric Master'!N18</f>
        <v>6409.0799974749998</v>
      </c>
      <c r="E5" s="687">
        <f>SUM(B5:D5)</f>
        <v>32003.472852475003</v>
      </c>
      <c r="F5" s="687">
        <f>'Ap E - NJ CEA Benchmarks'!H12</f>
        <v>9786855.7365277708</v>
      </c>
      <c r="G5" s="688">
        <f>'Ap E - NJ CEA Benchmarks'!M12</f>
        <v>7.4000000000000003E-3</v>
      </c>
      <c r="H5" s="687">
        <f>F5*G5</f>
        <v>72422.732450305513</v>
      </c>
      <c r="I5" s="689">
        <f>E5/H5</f>
        <v>0.44189816884408367</v>
      </c>
    </row>
    <row r="6" spans="1:9" ht="30" customHeight="1">
      <c r="B6" s="14" t="s">
        <v>287</v>
      </c>
      <c r="C6" s="13"/>
      <c r="D6" s="13"/>
      <c r="E6" s="13"/>
      <c r="F6" s="13"/>
      <c r="G6" s="13"/>
      <c r="H6" s="13"/>
      <c r="I6" s="13"/>
    </row>
  </sheetData>
  <mergeCells count="1">
    <mergeCell ref="B6: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4659260841701"/>
  </sheetPr>
  <dimension ref="A1:S65"/>
  <sheetViews>
    <sheetView zoomScale="110" zoomScaleNormal="110" workbookViewId="0"/>
  </sheetViews>
  <sheetFormatPr defaultColWidth="9.140625" defaultRowHeight="15"/>
  <cols>
    <col min="1" max="1" width="50" customWidth="1"/>
    <col min="2" max="4" width="13.28515625" customWidth="1"/>
    <col min="5" max="5" width="14.7109375" bestFit="1" customWidth="1"/>
    <col min="6" max="6" width="14.7109375" customWidth="1"/>
    <col min="7" max="8" width="13.28515625" customWidth="1"/>
    <col min="9" max="9" width="9.42578125" bestFit="1" customWidth="1"/>
    <col min="10" max="20" width="11.7109375" customWidth="1"/>
  </cols>
  <sheetData>
    <row r="1" spans="1:19" ht="15.75" thickBot="1">
      <c r="A1" t="s">
        <v>17</v>
      </c>
      <c r="M1" t="s">
        <v>18</v>
      </c>
      <c r="N1" t="s">
        <v>19</v>
      </c>
      <c r="P1" s="471"/>
      <c r="Q1" s="471"/>
      <c r="R1" s="472"/>
      <c r="S1" s="473"/>
    </row>
    <row r="2" spans="1:19" ht="15.75" thickBot="1">
      <c r="B2" s="9" t="s">
        <v>15</v>
      </c>
      <c r="C2" s="8"/>
      <c r="D2" s="8"/>
      <c r="E2" s="7"/>
      <c r="F2" s="9" t="s">
        <v>20</v>
      </c>
      <c r="G2" s="8"/>
      <c r="H2" s="8"/>
      <c r="I2" s="7"/>
      <c r="P2" s="471"/>
      <c r="Q2" s="471"/>
      <c r="R2" s="472"/>
      <c r="S2" s="473"/>
    </row>
    <row r="3" spans="1:19" ht="48">
      <c r="A3" s="760"/>
      <c r="B3" s="761" t="s">
        <v>21</v>
      </c>
      <c r="C3" s="28" t="s">
        <v>22</v>
      </c>
      <c r="D3" s="36" t="s">
        <v>23</v>
      </c>
      <c r="E3" s="762" t="s">
        <v>24</v>
      </c>
      <c r="F3" s="20" t="s">
        <v>25</v>
      </c>
      <c r="G3" s="28" t="s">
        <v>26</v>
      </c>
      <c r="H3" s="62" t="s">
        <v>27</v>
      </c>
      <c r="I3" s="762" t="s">
        <v>24</v>
      </c>
      <c r="J3" s="763" t="s">
        <v>28</v>
      </c>
      <c r="K3" s="762" t="s">
        <v>29</v>
      </c>
      <c r="M3" s="474">
        <f>$E$44</f>
        <v>0.53737018968981454</v>
      </c>
      <c r="N3" s="474">
        <f>$E$32</f>
        <v>0.23963908938575726</v>
      </c>
      <c r="P3" s="475"/>
      <c r="Q3" s="473"/>
    </row>
    <row r="4" spans="1:19">
      <c r="A4" s="764" t="s">
        <v>30</v>
      </c>
      <c r="B4" s="730">
        <f>'Table 1'!B4</f>
        <v>12576.102963919951</v>
      </c>
      <c r="C4" s="741">
        <v>127.57901699999999</v>
      </c>
      <c r="D4" s="737">
        <f>'Table 1'!D4</f>
        <v>3531.2954811920004</v>
      </c>
      <c r="E4" s="740">
        <f t="shared" ref="E4:E9" si="0">SUM(B4:D4)</f>
        <v>16234.977462111952</v>
      </c>
      <c r="F4" s="730">
        <f>'Table 1'!B5</f>
        <v>25379.392855000002</v>
      </c>
      <c r="G4" s="735">
        <v>232.47681</v>
      </c>
      <c r="H4" s="734">
        <f>'Table 1'!D5</f>
        <v>6409.0799974749998</v>
      </c>
      <c r="I4" s="746">
        <f t="shared" ref="I4:I9" si="1">SUM(F4:H4)</f>
        <v>32020.949662475003</v>
      </c>
      <c r="J4" s="742">
        <f>'Ap B - Qtr Electric Master'!M39</f>
        <v>59555.728000000003</v>
      </c>
      <c r="K4" s="765">
        <f>E4/J4</f>
        <v>0.27260144418202648</v>
      </c>
      <c r="P4" s="475"/>
    </row>
    <row r="5" spans="1:19">
      <c r="A5" s="764" t="s">
        <v>31</v>
      </c>
      <c r="B5" s="730">
        <f>'Ap B - Qtr Electric Master'!R39-D5</f>
        <v>178019.56774480004</v>
      </c>
      <c r="C5" s="735">
        <v>2014.157551</v>
      </c>
      <c r="D5" s="737">
        <f>'Ap B - Qtr Electric Master'!R16+'Ap B - Qtr Electric Master'!R18</f>
        <v>5123.9954811919997</v>
      </c>
      <c r="E5" s="740">
        <f>SUM(B5:D5)</f>
        <v>185157.72077699204</v>
      </c>
      <c r="F5" s="730">
        <f>'Ap B - Qtr Electric Master'!S39-'Tables 2-6'!H5</f>
        <v>357573.26774480008</v>
      </c>
      <c r="G5" s="735">
        <v>3605.3161100000002</v>
      </c>
      <c r="H5" s="734">
        <f>'Ap B - Qtr Electric Master'!S16+'Ap B - Qtr Electric Master'!S18</f>
        <v>8001.7799974749996</v>
      </c>
      <c r="I5" s="738">
        <f t="shared" si="1"/>
        <v>369180.36385227507</v>
      </c>
      <c r="J5" s="745"/>
      <c r="K5" s="766"/>
      <c r="P5" s="475"/>
    </row>
    <row r="6" spans="1:19" ht="17.25" hidden="1">
      <c r="A6" s="764" t="s">
        <v>33</v>
      </c>
      <c r="B6" s="726">
        <f>(B5/B4)*B7</f>
        <v>19.58414785104857</v>
      </c>
      <c r="C6" s="747">
        <f>IFERROR((C5/C4)*C7,0)</f>
        <v>0.47266285896676097</v>
      </c>
      <c r="D6" s="748">
        <f>SUM(('Ap B - Qtr Electric Master'!R16/'Ap B - Qtr Electric Master'!L16)*('Ap B - Qtr Electric Master'!Q16-0),('Ap B - Qtr Electric Master'!Q18))-2.293</f>
        <v>0.72792204606316879</v>
      </c>
      <c r="E6" s="749">
        <f>SUM(B6:D6)</f>
        <v>20.784732756078498</v>
      </c>
      <c r="F6" s="758">
        <f>(F5/F4)*F7</f>
        <v>40.386630697668437</v>
      </c>
      <c r="G6" s="750">
        <f>IFERROR((G5/G4)*G7,0)</f>
        <v>0.72859463343423381</v>
      </c>
      <c r="H6" s="752">
        <f>SUM(('Ap B - Qtr Electric Master'!S16/'Ap B - Qtr Electric Master'!N16)*'Ap B - Qtr Electric Master'!Q16,'Ap B - Qtr Electric Master'!Q18)</f>
        <v>3.0209220460631689</v>
      </c>
      <c r="I6" s="751">
        <f>SUM(F6:H6)</f>
        <v>44.136147377165841</v>
      </c>
      <c r="J6" s="767"/>
      <c r="K6" s="768"/>
      <c r="L6" s="475"/>
      <c r="P6" s="475"/>
    </row>
    <row r="7" spans="1:19">
      <c r="A7" s="764" t="s">
        <v>32</v>
      </c>
      <c r="B7" s="731">
        <f>'Ap B - Qtr Electric Master'!Q39-'Tables 2-6'!D7-1.483</f>
        <v>1.3835122900000001</v>
      </c>
      <c r="C7" s="736">
        <v>2.9939E-2</v>
      </c>
      <c r="D7" s="753">
        <f>'Ap B - Qtr Electric Master'!Q18+'Ap B - Qtr Electric Master'!Q16-0</f>
        <v>2.9260744822580644</v>
      </c>
      <c r="E7" s="754">
        <f>SUM(B7:D7)</f>
        <v>4.3395257722580647</v>
      </c>
      <c r="F7" s="731">
        <f>'Ap B - Qtr Electric Master'!Q39-'Tables 2-6'!H7</f>
        <v>2.8665122900000002</v>
      </c>
      <c r="G7" s="736">
        <v>4.6981000000000002E-2</v>
      </c>
      <c r="H7" s="755">
        <f>'Ap B - Qtr Electric Master'!Q16+'Ap B - Qtr Electric Master'!Q18</f>
        <v>2.9260744822580644</v>
      </c>
      <c r="I7" s="739">
        <f>SUM(F7:H7)</f>
        <v>5.8395677722580643</v>
      </c>
      <c r="J7" s="767"/>
      <c r="K7" s="768"/>
      <c r="P7" s="475"/>
    </row>
    <row r="8" spans="1:19">
      <c r="A8" s="764" t="s">
        <v>34</v>
      </c>
      <c r="B8" s="730">
        <f>'Ap B - Qtr Electric Master'!R17</f>
        <v>1363.4</v>
      </c>
      <c r="C8" s="743">
        <f>C5</f>
        <v>2014.157551</v>
      </c>
      <c r="D8" s="744"/>
      <c r="E8" s="738">
        <f>SUM(B8:D8)</f>
        <v>3377.5575509999999</v>
      </c>
      <c r="F8" s="759">
        <f>'Ap B - Qtr Electric Master'!S17</f>
        <v>1363.4</v>
      </c>
      <c r="G8" s="743">
        <f>G5</f>
        <v>3605.3161100000002</v>
      </c>
      <c r="H8" s="744"/>
      <c r="I8" s="738">
        <f t="shared" si="1"/>
        <v>4968.7161100000003</v>
      </c>
      <c r="J8" s="767"/>
      <c r="K8" s="768"/>
      <c r="L8" s="475"/>
      <c r="M8" s="475"/>
      <c r="N8" s="475"/>
      <c r="O8" s="475"/>
      <c r="P8" s="475"/>
    </row>
    <row r="9" spans="1:19" ht="15.75" thickBot="1">
      <c r="A9" s="769" t="s">
        <v>35</v>
      </c>
      <c r="B9" s="728">
        <f>' Ap D - Qtr Electric Business'!J20</f>
        <v>23417.161</v>
      </c>
      <c r="C9" s="727"/>
      <c r="D9" s="756"/>
      <c r="E9" s="757">
        <f t="shared" si="0"/>
        <v>23417.161</v>
      </c>
      <c r="F9" s="728">
        <f>' Ap D - Qtr Electric Business'!L20</f>
        <v>39013.014000000003</v>
      </c>
      <c r="G9" s="727"/>
      <c r="H9" s="756"/>
      <c r="I9" s="757">
        <f t="shared" si="1"/>
        <v>39013.014000000003</v>
      </c>
      <c r="J9" s="770"/>
      <c r="K9" s="771"/>
      <c r="L9" s="475"/>
      <c r="M9" s="475"/>
      <c r="N9" s="475"/>
      <c r="O9" s="475"/>
      <c r="P9" s="475"/>
    </row>
    <row r="10" spans="1:19" ht="32.25" hidden="1">
      <c r="A10" s="693" t="s">
        <v>36</v>
      </c>
      <c r="B10" s="729" t="e">
        <f>#REF!</f>
        <v>#REF!</v>
      </c>
      <c r="C10" s="694"/>
      <c r="D10" s="695"/>
      <c r="E10" s="733" t="e">
        <f>B10</f>
        <v>#REF!</v>
      </c>
      <c r="F10" s="732"/>
      <c r="G10" s="695"/>
      <c r="H10" s="695"/>
      <c r="I10" s="696"/>
      <c r="J10" s="475"/>
      <c r="K10" s="475"/>
      <c r="L10" s="475"/>
    </row>
    <row r="11" spans="1:19" ht="15" customHeight="1">
      <c r="A11" s="772" t="s">
        <v>284</v>
      </c>
      <c r="B11" s="725"/>
      <c r="C11" s="725"/>
      <c r="D11" s="725"/>
      <c r="E11" s="725"/>
      <c r="F11" s="725"/>
      <c r="G11" s="725"/>
      <c r="H11" s="725"/>
      <c r="I11" s="475"/>
      <c r="J11" s="475"/>
      <c r="K11" s="475"/>
      <c r="L11" s="475"/>
    </row>
    <row r="12" spans="1:19">
      <c r="A12" s="725"/>
      <c r="B12" s="725"/>
      <c r="C12" s="725"/>
      <c r="D12" s="725"/>
      <c r="E12" s="725"/>
      <c r="F12" s="725"/>
      <c r="G12" s="725"/>
      <c r="H12" s="725"/>
      <c r="I12" s="475"/>
      <c r="J12" s="475"/>
      <c r="K12" s="475"/>
      <c r="L12" s="475"/>
    </row>
    <row r="13" spans="1:19" ht="0.75" customHeight="1">
      <c r="A13" s="725"/>
      <c r="B13" s="725"/>
      <c r="C13" s="725"/>
      <c r="D13" s="725"/>
      <c r="E13" s="725"/>
      <c r="F13" s="725"/>
      <c r="G13" s="725"/>
      <c r="H13" s="725"/>
      <c r="I13" s="475"/>
      <c r="J13" s="475"/>
      <c r="K13" s="475"/>
      <c r="L13" s="475"/>
    </row>
    <row r="14" spans="1:19">
      <c r="B14" s="702"/>
      <c r="C14" s="23"/>
      <c r="D14" s="701"/>
      <c r="I14" s="475"/>
      <c r="J14" s="692"/>
      <c r="K14" s="475"/>
      <c r="L14" s="475"/>
    </row>
    <row r="15" spans="1:19">
      <c r="G15" s="691"/>
      <c r="H15" s="476"/>
      <c r="I15" s="475"/>
      <c r="J15" s="475"/>
      <c r="K15" s="475"/>
      <c r="L15" s="475"/>
    </row>
    <row r="16" spans="1:19">
      <c r="A16" s="475" t="s">
        <v>37</v>
      </c>
      <c r="G16" s="476"/>
      <c r="J16" s="475"/>
      <c r="K16" s="475"/>
      <c r="L16" s="475"/>
    </row>
    <row r="17" spans="1:9" ht="36">
      <c r="A17" s="411" t="s">
        <v>38</v>
      </c>
      <c r="B17" s="411" t="s">
        <v>39</v>
      </c>
      <c r="C17" s="48" t="s">
        <v>40</v>
      </c>
      <c r="D17" s="48" t="s">
        <v>41</v>
      </c>
      <c r="E17" s="410" t="s">
        <v>42</v>
      </c>
      <c r="G17" s="476"/>
      <c r="I17" s="691"/>
    </row>
    <row r="18" spans="1:9">
      <c r="A18" s="416" t="s">
        <v>43</v>
      </c>
      <c r="B18" s="558">
        <f>'Ap B - Qtr Electric Master'!D$19</f>
        <v>290655</v>
      </c>
      <c r="C18" s="558">
        <f>'Ap B - Qtr Electric Master'!F$19</f>
        <v>342631</v>
      </c>
      <c r="D18" s="558">
        <f>'Ap B - Qtr Electric Master'!E$19</f>
        <v>88435</v>
      </c>
      <c r="E18" s="414">
        <f>C18/D18</f>
        <v>3.8743823146944085</v>
      </c>
      <c r="G18" s="476"/>
    </row>
    <row r="19" spans="1:9">
      <c r="A19" s="416" t="s">
        <v>44</v>
      </c>
      <c r="B19" s="559">
        <f>'Ap B - Qtr Electric Master'!D$32</f>
        <v>363</v>
      </c>
      <c r="C19" s="559">
        <f>'Ap B - Qtr Electric Master'!F$32</f>
        <v>363</v>
      </c>
      <c r="D19" s="558">
        <f>'Ap B - Qtr Electric Master'!E$32</f>
        <v>2088</v>
      </c>
      <c r="E19" s="414">
        <f t="shared" ref="E19:E20" si="2">C19/D19</f>
        <v>0.17385057471264367</v>
      </c>
      <c r="G19" s="476"/>
    </row>
    <row r="20" spans="1:9" ht="17.25">
      <c r="A20" s="416" t="s">
        <v>45</v>
      </c>
      <c r="B20" s="558">
        <f>'Ap B - Qtr Electric Master'!D$26</f>
        <v>79</v>
      </c>
      <c r="C20" s="558">
        <f>'Ap B - Qtr Electric Master'!F$26</f>
        <v>150</v>
      </c>
      <c r="D20" s="558">
        <f>'Ap B - Qtr Electric Master'!E$26</f>
        <v>126748</v>
      </c>
      <c r="E20" s="414">
        <f t="shared" si="2"/>
        <v>1.183450626439865E-3</v>
      </c>
      <c r="G20" s="476"/>
    </row>
    <row r="21" spans="1:9">
      <c r="A21" s="409" t="s">
        <v>46</v>
      </c>
      <c r="B21" s="560">
        <f>SUM(B18:B20)</f>
        <v>291097</v>
      </c>
      <c r="C21" s="413">
        <f>SUM(C18:C20)</f>
        <v>343144</v>
      </c>
      <c r="D21" s="413">
        <f>SUM(D18:D20)</f>
        <v>217271</v>
      </c>
      <c r="E21" s="412">
        <f>C21/D21</f>
        <v>1.5793364047663978</v>
      </c>
      <c r="G21" s="476"/>
    </row>
    <row r="22" spans="1:9" ht="17.25">
      <c r="A22" s="416" t="s">
        <v>47</v>
      </c>
      <c r="B22" s="677">
        <v>162</v>
      </c>
      <c r="C22" s="677">
        <v>275</v>
      </c>
      <c r="D22" s="677">
        <v>619</v>
      </c>
      <c r="E22" s="414">
        <f>C22/D22</f>
        <v>0.44426494345718903</v>
      </c>
      <c r="G22" s="476"/>
    </row>
    <row r="23" spans="1:9" ht="15.75" thickBot="1">
      <c r="A23" s="409" t="s">
        <v>48</v>
      </c>
      <c r="B23" s="413">
        <f>SUM(B21:B22)</f>
        <v>291259</v>
      </c>
      <c r="C23" s="413">
        <f>SUM(C21:C22)</f>
        <v>343419</v>
      </c>
      <c r="D23" s="413">
        <f>SUM(D21:D22)</f>
        <v>217890</v>
      </c>
      <c r="E23" s="412">
        <f>C23/D23</f>
        <v>1.5761117995318739</v>
      </c>
      <c r="G23" s="476"/>
    </row>
    <row r="24" spans="1:9" ht="80.25" customHeight="1">
      <c r="A24" s="6" t="s">
        <v>49</v>
      </c>
      <c r="B24" s="5"/>
      <c r="C24" s="5"/>
      <c r="D24" s="5"/>
      <c r="E24" s="5"/>
      <c r="F24" s="690"/>
    </row>
    <row r="27" spans="1:9">
      <c r="A27" t="s">
        <v>50</v>
      </c>
    </row>
    <row r="28" spans="1:9" ht="36">
      <c r="A28" s="411" t="s">
        <v>51</v>
      </c>
      <c r="B28" s="411" t="s">
        <v>52</v>
      </c>
      <c r="C28" s="48" t="s">
        <v>53</v>
      </c>
      <c r="D28" s="48" t="s">
        <v>54</v>
      </c>
      <c r="E28" s="410" t="s">
        <v>55</v>
      </c>
    </row>
    <row r="29" spans="1:9">
      <c r="A29" s="416" t="s">
        <v>43</v>
      </c>
      <c r="B29" s="404">
        <f>'Ap B - Qtr Electric Master'!H$19</f>
        <v>2026.8616199999999</v>
      </c>
      <c r="C29" s="404">
        <f>'Ap B - Qtr Electric Master'!J$19</f>
        <v>4086.9802100000006</v>
      </c>
      <c r="D29" s="404">
        <f>'Ap B - Qtr Electric Master'!I$19</f>
        <v>15851.740000000002</v>
      </c>
      <c r="E29" s="414">
        <f t="shared" ref="E29:E34" si="3">C29/D29</f>
        <v>0.25782533715541639</v>
      </c>
    </row>
    <row r="30" spans="1:9">
      <c r="A30" s="416" t="s">
        <v>44</v>
      </c>
      <c r="B30" s="404">
        <f>'Ap B - Qtr Electric Master'!H$32</f>
        <v>150.07754</v>
      </c>
      <c r="C30" s="404">
        <f>'Ap B - Qtr Electric Master'!J$32</f>
        <v>312.31704999999999</v>
      </c>
      <c r="D30" s="404">
        <f>'Ap B - Qtr Electric Master'!I$32</f>
        <v>1364.884</v>
      </c>
      <c r="E30" s="414">
        <f t="shared" si="3"/>
        <v>0.22882314541015938</v>
      </c>
    </row>
    <row r="31" spans="1:9">
      <c r="A31" s="416" t="s">
        <v>56</v>
      </c>
      <c r="B31" s="404">
        <f>'Ap B - Qtr Electric Master'!H$26</f>
        <v>2071.2399</v>
      </c>
      <c r="C31" s="404">
        <f>'Ap B - Qtr Electric Master'!J$26</f>
        <v>4005.89786</v>
      </c>
      <c r="D31" s="404">
        <f>'Ap B - Qtr Electric Master'!I$26</f>
        <v>17857.767000000003</v>
      </c>
      <c r="E31" s="414">
        <f t="shared" si="3"/>
        <v>0.22432243964208959</v>
      </c>
    </row>
    <row r="32" spans="1:9">
      <c r="A32" s="409" t="s">
        <v>46</v>
      </c>
      <c r="B32" s="408">
        <f>SUM(B29:B31)</f>
        <v>4248.1790600000004</v>
      </c>
      <c r="C32" s="408">
        <f>SUM(C29:C31)</f>
        <v>8405.1951200000003</v>
      </c>
      <c r="D32" s="408">
        <f>SUM(D29:D31)</f>
        <v>35074.391000000003</v>
      </c>
      <c r="E32" s="412">
        <f t="shared" si="3"/>
        <v>0.23963908938575726</v>
      </c>
    </row>
    <row r="33" spans="1:10">
      <c r="A33" s="416" t="s">
        <v>57</v>
      </c>
      <c r="B33" s="563">
        <v>635</v>
      </c>
      <c r="C33" s="563">
        <v>1031</v>
      </c>
      <c r="D33" s="563">
        <v>2448</v>
      </c>
      <c r="E33" s="414">
        <f t="shared" si="3"/>
        <v>0.42116013071895425</v>
      </c>
    </row>
    <row r="34" spans="1:10" ht="15.75" thickBot="1">
      <c r="A34" s="409" t="s">
        <v>48</v>
      </c>
      <c r="B34" s="408">
        <f>SUM(B32:B33)</f>
        <v>4883.1790600000004</v>
      </c>
      <c r="C34" s="408">
        <f>SUM(C32:C33)</f>
        <v>9436.1951200000003</v>
      </c>
      <c r="D34" s="408">
        <f>SUM(D32:D33)</f>
        <v>37522.391000000003</v>
      </c>
      <c r="E34" s="412">
        <f t="shared" si="3"/>
        <v>0.25148171181308782</v>
      </c>
    </row>
    <row r="35" spans="1:10" ht="27" customHeight="1">
      <c r="A35" s="12" t="s">
        <v>283</v>
      </c>
      <c r="B35" s="5"/>
      <c r="C35" s="5"/>
      <c r="D35" s="5"/>
      <c r="E35" s="5"/>
      <c r="F35" s="690"/>
    </row>
    <row r="37" spans="1:10">
      <c r="A37" t="s">
        <v>58</v>
      </c>
    </row>
    <row r="38" spans="1:10" ht="36">
      <c r="A38" s="411" t="s">
        <v>59</v>
      </c>
      <c r="B38" s="411" t="s">
        <v>60</v>
      </c>
      <c r="C38" s="48" t="s">
        <v>61</v>
      </c>
      <c r="D38" s="48" t="s">
        <v>62</v>
      </c>
      <c r="E38" s="410" t="s">
        <v>63</v>
      </c>
      <c r="J38" s="471"/>
    </row>
    <row r="39" spans="1:10">
      <c r="A39" s="416" t="s">
        <v>43</v>
      </c>
      <c r="B39" s="415">
        <f>'Ap B - Qtr Electric Master'!L$19</f>
        <v>12216.198445111952</v>
      </c>
      <c r="C39" s="415">
        <f>'Ap B - Qtr Electric Master'!N$19</f>
        <v>24360.072852475001</v>
      </c>
      <c r="D39" s="415">
        <f>'Ap B - Qtr Electric Master'!M$19</f>
        <v>19881.583999999999</v>
      </c>
      <c r="E39" s="414">
        <f>C39/D39</f>
        <v>1.2252581510846923</v>
      </c>
      <c r="J39" s="477"/>
    </row>
    <row r="40" spans="1:10">
      <c r="A40" s="416" t="s">
        <v>44</v>
      </c>
      <c r="B40" s="415">
        <f>'Ap B - Qtr Electric Master'!L$32</f>
        <v>269.39999999999998</v>
      </c>
      <c r="C40" s="415">
        <f>'Ap B - Qtr Electric Master'!N$32</f>
        <v>269.39999999999998</v>
      </c>
      <c r="D40" s="415">
        <f>'Ap B - Qtr Electric Master'!M$32</f>
        <v>2298.1190000000001</v>
      </c>
      <c r="E40" s="414">
        <f>C40/D40</f>
        <v>0.11722630551333502</v>
      </c>
      <c r="J40" s="478"/>
    </row>
    <row r="41" spans="1:10">
      <c r="A41" s="416" t="s">
        <v>56</v>
      </c>
      <c r="B41" s="415">
        <f>'Ap B - Qtr Electric Master'!L$26</f>
        <v>3621.8</v>
      </c>
      <c r="C41" s="415">
        <f>'Ap B - Qtr Electric Master'!N$26</f>
        <v>7159</v>
      </c>
      <c r="D41" s="415">
        <f>'Ap B - Qtr Electric Master'!M$26</f>
        <v>37376.025000000001</v>
      </c>
      <c r="E41" s="414">
        <f>C41/D41</f>
        <v>0.19153989756802656</v>
      </c>
    </row>
    <row r="42" spans="1:10">
      <c r="A42" s="409" t="s">
        <v>46</v>
      </c>
      <c r="B42" s="413">
        <f>SUM(B39:B41)</f>
        <v>16107.39844511195</v>
      </c>
      <c r="C42" s="413">
        <f>SUM(C39:C41)</f>
        <v>31788.472852475003</v>
      </c>
      <c r="D42" s="413">
        <f>SUM(D39:D41)</f>
        <v>59555.728000000003</v>
      </c>
      <c r="E42" s="412">
        <f>C42/D42</f>
        <v>0.53376012551597052</v>
      </c>
    </row>
    <row r="43" spans="1:10">
      <c r="A43" s="416" t="s">
        <v>57</v>
      </c>
      <c r="B43" s="677">
        <v>128</v>
      </c>
      <c r="C43" s="677">
        <v>215</v>
      </c>
      <c r="D43" s="559" t="s">
        <v>64</v>
      </c>
      <c r="E43" s="561" t="s">
        <v>64</v>
      </c>
    </row>
    <row r="44" spans="1:10" ht="15.75" thickBot="1">
      <c r="A44" s="409" t="s">
        <v>48</v>
      </c>
      <c r="B44" s="413">
        <f>SUM(B42:B43)</f>
        <v>16235.39844511195</v>
      </c>
      <c r="C44" s="413">
        <f>SUM(C42:C43)</f>
        <v>32003.472852475003</v>
      </c>
      <c r="D44" s="413">
        <f>SUM(D42:D43)</f>
        <v>59555.728000000003</v>
      </c>
      <c r="E44" s="412">
        <f>C44/D44</f>
        <v>0.53737018968981454</v>
      </c>
    </row>
    <row r="45" spans="1:10" ht="27" customHeight="1">
      <c r="A45" s="12" t="s">
        <v>282</v>
      </c>
      <c r="B45" s="11"/>
      <c r="C45" s="11"/>
      <c r="D45" s="11"/>
      <c r="E45" s="11"/>
    </row>
    <row r="47" spans="1:10">
      <c r="A47" t="s">
        <v>65</v>
      </c>
    </row>
    <row r="48" spans="1:10" ht="47.25" customHeight="1">
      <c r="A48" s="411" t="s">
        <v>66</v>
      </c>
      <c r="B48" s="411" t="s">
        <v>67</v>
      </c>
      <c r="C48" s="48" t="s">
        <v>68</v>
      </c>
      <c r="D48" s="48" t="s">
        <v>69</v>
      </c>
      <c r="E48" s="562" t="s">
        <v>70</v>
      </c>
    </row>
    <row r="49" spans="1:5">
      <c r="A49" s="416" t="s">
        <v>71</v>
      </c>
      <c r="B49" s="404">
        <f>SUM('Ap B - Qtr Electric Master'!H11,'Ap B - Qtr Electric Master'!H38)</f>
        <v>112.37620000000003</v>
      </c>
      <c r="C49" s="404">
        <f>SUM('Ap B - Qtr Electric Master'!J11,'Ap B - Qtr Electric Master'!J38)</f>
        <v>220.34620000000007</v>
      </c>
      <c r="D49" s="404">
        <v>500</v>
      </c>
      <c r="E49" s="403">
        <f>C49/D49</f>
        <v>0.44069240000000015</v>
      </c>
    </row>
    <row r="50" spans="1:5">
      <c r="A50" s="416" t="s">
        <v>72</v>
      </c>
      <c r="B50" s="563">
        <v>334.83621000000005</v>
      </c>
      <c r="C50" s="563">
        <v>612.94884000000002</v>
      </c>
      <c r="D50" s="563">
        <v>1371.44372629599</v>
      </c>
      <c r="E50" s="403">
        <f t="shared" ref="E50:E56" si="4">C50/D50</f>
        <v>0.4469369236574211</v>
      </c>
    </row>
    <row r="51" spans="1:5">
      <c r="A51" s="416" t="s">
        <v>73</v>
      </c>
      <c r="B51" s="563">
        <v>421.85739999999998</v>
      </c>
      <c r="C51" s="563">
        <v>821.15500999999995</v>
      </c>
      <c r="D51" s="563">
        <v>1498.5066260456526</v>
      </c>
      <c r="E51" s="403">
        <f t="shared" si="4"/>
        <v>0.54798223493139442</v>
      </c>
    </row>
    <row r="52" spans="1:5">
      <c r="A52" s="416" t="s">
        <v>74</v>
      </c>
      <c r="B52" s="563">
        <v>1163.57728</v>
      </c>
      <c r="C52" s="563">
        <v>2336.9793</v>
      </c>
      <c r="D52" s="563">
        <v>6555.1739565200687</v>
      </c>
      <c r="E52" s="403">
        <f t="shared" si="4"/>
        <v>0.35650912020046943</v>
      </c>
    </row>
    <row r="53" spans="1:5">
      <c r="A53" s="416" t="s">
        <v>75</v>
      </c>
      <c r="B53" s="563">
        <v>1977.1884000000005</v>
      </c>
      <c r="C53" s="563">
        <v>3213.4490700000006</v>
      </c>
      <c r="D53" s="563">
        <v>22217.839059534388</v>
      </c>
      <c r="E53" s="403">
        <f t="shared" si="4"/>
        <v>0.14463373604378535</v>
      </c>
    </row>
    <row r="54" spans="1:5">
      <c r="A54" s="416" t="s">
        <v>76</v>
      </c>
      <c r="B54" s="563">
        <v>4.5</v>
      </c>
      <c r="C54" s="563">
        <v>703.82700000000011</v>
      </c>
      <c r="D54" s="563">
        <v>2057.8517908994831</v>
      </c>
      <c r="E54" s="403">
        <f t="shared" si="4"/>
        <v>0.34202025778171258</v>
      </c>
    </row>
    <row r="55" spans="1:5">
      <c r="A55" s="416" t="s">
        <v>77</v>
      </c>
      <c r="B55" s="563">
        <v>214.61272000000002</v>
      </c>
      <c r="C55" s="563">
        <v>423.80795000000001</v>
      </c>
      <c r="D55" s="563">
        <v>903.84136905969751</v>
      </c>
      <c r="E55" s="403">
        <f t="shared" si="4"/>
        <v>0.46889638437428954</v>
      </c>
    </row>
    <row r="56" spans="1:5">
      <c r="A56" s="416" t="s">
        <v>78</v>
      </c>
      <c r="B56" s="563">
        <v>22.582639999999998</v>
      </c>
      <c r="C56" s="563">
        <v>93.804639999999992</v>
      </c>
      <c r="D56" s="563">
        <v>219.73431192075668</v>
      </c>
      <c r="E56" s="403">
        <f t="shared" si="4"/>
        <v>0.4269002832558485</v>
      </c>
    </row>
    <row r="57" spans="1:5" ht="15.75" thickBot="1">
      <c r="A57" s="409" t="s">
        <v>48</v>
      </c>
      <c r="B57" s="408">
        <f>SUM(B49:B56)</f>
        <v>4251.5308500000001</v>
      </c>
      <c r="C57" s="408">
        <f>SUM(C49:C56)</f>
        <v>8426.3180100000009</v>
      </c>
      <c r="D57" s="408">
        <f>SUM(D49:D56)</f>
        <v>35324.390840276043</v>
      </c>
      <c r="E57" s="407">
        <f>C57/D57</f>
        <v>0.23854107061890253</v>
      </c>
    </row>
    <row r="58" spans="1:5" ht="44.45" customHeight="1">
      <c r="A58" s="12" t="s">
        <v>285</v>
      </c>
      <c r="B58" s="10"/>
      <c r="C58" s="10"/>
      <c r="D58" s="10"/>
      <c r="E58" s="10"/>
    </row>
    <row r="65" spans="1:1">
      <c r="A65" s="475"/>
    </row>
  </sheetData>
  <mergeCells count="6">
    <mergeCell ref="A45:E45"/>
    <mergeCell ref="A58:E58"/>
    <mergeCell ref="F2:I2"/>
    <mergeCell ref="B2:E2"/>
    <mergeCell ref="A24:E24"/>
    <mergeCell ref="A35:E35"/>
  </mergeCells>
  <pageMargins left="0.7" right="0.7" top="0.75" bottom="0.75" header="0.3" footer="0.3"/>
  <pageSetup orientation="portrait" r:id="rId1"/>
  <ignoredErrors>
    <ignoredError sqref="G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4659260841701"/>
  </sheetPr>
  <dimension ref="B2:O76"/>
  <sheetViews>
    <sheetView topLeftCell="A16" zoomScale="90" zoomScaleNormal="90" workbookViewId="0"/>
  </sheetViews>
  <sheetFormatPr defaultColWidth="9.140625" defaultRowHeight="15"/>
  <cols>
    <col min="1" max="1" width="6.140625" customWidth="1"/>
    <col min="2" max="2" width="26" customWidth="1"/>
    <col min="3" max="3" width="33.5703125" bestFit="1" customWidth="1"/>
    <col min="4" max="4" width="14.5703125" customWidth="1"/>
    <col min="5" max="6" width="13.28515625" customWidth="1"/>
    <col min="7" max="7" width="9" customWidth="1"/>
    <col min="8" max="9" width="13.28515625" customWidth="1"/>
    <col min="10" max="10" width="9.7109375" customWidth="1"/>
    <col min="11" max="21" width="11.7109375" customWidth="1"/>
  </cols>
  <sheetData>
    <row r="2" spans="2:15">
      <c r="B2" t="s">
        <v>79</v>
      </c>
    </row>
    <row r="3" spans="2:15" ht="45.75" customHeight="1">
      <c r="B3" s="406" t="s">
        <v>80</v>
      </c>
      <c r="C3" s="405" t="s">
        <v>81</v>
      </c>
      <c r="D3" s="479" t="s">
        <v>82</v>
      </c>
      <c r="E3" s="564" t="s">
        <v>83</v>
      </c>
      <c r="F3" s="471"/>
      <c r="G3" s="471"/>
      <c r="L3" s="471"/>
      <c r="M3" s="471"/>
      <c r="N3" s="471"/>
      <c r="O3" s="471"/>
    </row>
    <row r="4" spans="2:15">
      <c r="B4" s="480" t="s">
        <v>84</v>
      </c>
      <c r="C4" s="415"/>
      <c r="D4" s="415"/>
      <c r="E4" s="414"/>
      <c r="F4" s="63"/>
      <c r="G4" s="63"/>
      <c r="I4" s="474"/>
      <c r="J4" s="474"/>
      <c r="L4" s="475"/>
      <c r="M4" s="473"/>
      <c r="N4" s="472"/>
      <c r="O4" s="473"/>
    </row>
    <row r="5" spans="2:15">
      <c r="B5" s="481" t="s">
        <v>85</v>
      </c>
      <c r="C5" s="482">
        <v>438501</v>
      </c>
      <c r="D5" s="482">
        <v>377689</v>
      </c>
      <c r="E5" s="483">
        <f>C5/(C5+D5)</f>
        <v>0.53725358066136564</v>
      </c>
      <c r="F5" s="63"/>
      <c r="G5" s="63"/>
      <c r="L5" s="475"/>
    </row>
    <row r="6" spans="2:15">
      <c r="B6" s="480" t="s">
        <v>288</v>
      </c>
      <c r="C6" s="415">
        <v>56869</v>
      </c>
      <c r="D6" s="415">
        <v>44320</v>
      </c>
      <c r="E6" s="483">
        <f>C6/(C6+D6)</f>
        <v>0.56200772811273958</v>
      </c>
      <c r="F6" s="63"/>
      <c r="G6" s="63"/>
      <c r="L6" s="475"/>
    </row>
    <row r="7" spans="2:15">
      <c r="B7" s="484" t="s">
        <v>86</v>
      </c>
      <c r="C7" s="485">
        <v>3072068</v>
      </c>
      <c r="D7" s="485">
        <v>2449103</v>
      </c>
      <c r="E7" s="486">
        <f>C7/(C7+D7)</f>
        <v>0.55641602116652422</v>
      </c>
      <c r="F7" s="487"/>
      <c r="G7" s="487"/>
      <c r="L7" s="475"/>
    </row>
    <row r="8" spans="2:15">
      <c r="I8" s="475"/>
      <c r="J8" s="475"/>
      <c r="K8" s="475"/>
      <c r="L8" s="475"/>
      <c r="M8" s="475"/>
    </row>
    <row r="9" spans="2:15" ht="26.25">
      <c r="B9" s="411" t="s">
        <v>87</v>
      </c>
      <c r="C9" s="411" t="s">
        <v>88</v>
      </c>
      <c r="D9" s="411" t="s">
        <v>89</v>
      </c>
      <c r="E9" s="405" t="s">
        <v>90</v>
      </c>
      <c r="F9" s="479" t="s">
        <v>91</v>
      </c>
      <c r="G9" s="564" t="s">
        <v>83</v>
      </c>
      <c r="H9" s="405" t="s">
        <v>92</v>
      </c>
      <c r="I9" s="479" t="s">
        <v>93</v>
      </c>
      <c r="J9" s="564" t="s">
        <v>83</v>
      </c>
      <c r="K9" s="475"/>
      <c r="L9" s="475"/>
      <c r="M9" s="475"/>
    </row>
    <row r="10" spans="2:15">
      <c r="B10" s="1" t="s">
        <v>94</v>
      </c>
      <c r="C10" s="1"/>
      <c r="D10" s="1"/>
      <c r="E10" s="1"/>
      <c r="F10" s="1"/>
      <c r="G10" s="1"/>
      <c r="H10" s="1"/>
      <c r="I10" s="1"/>
      <c r="J10" s="1"/>
      <c r="K10" s="475"/>
      <c r="L10" s="475"/>
      <c r="M10" s="475"/>
    </row>
    <row r="11" spans="2:15">
      <c r="B11" s="4" t="s">
        <v>95</v>
      </c>
      <c r="C11" s="416" t="s">
        <v>96</v>
      </c>
      <c r="D11" s="416" t="s">
        <v>97</v>
      </c>
      <c r="E11" s="570">
        <v>22</v>
      </c>
      <c r="F11" s="571">
        <v>267</v>
      </c>
      <c r="G11" s="566">
        <f>IFERROR(E11/(E11+F11),"-")</f>
        <v>7.6124567474048443E-2</v>
      </c>
      <c r="H11" s="572">
        <v>59</v>
      </c>
      <c r="I11" s="573">
        <v>632</v>
      </c>
      <c r="J11" s="566">
        <f>IFERROR(H11/(H11+I11),"-")</f>
        <v>8.5383502170766998E-2</v>
      </c>
      <c r="K11" s="475"/>
      <c r="L11" s="475"/>
      <c r="M11" s="475"/>
    </row>
    <row r="12" spans="2:15">
      <c r="B12" s="3"/>
      <c r="C12" s="416" t="s">
        <v>98</v>
      </c>
      <c r="D12" s="416" t="s">
        <v>97</v>
      </c>
      <c r="E12" s="570">
        <v>113</v>
      </c>
      <c r="F12" s="571">
        <v>692</v>
      </c>
      <c r="G12" s="566">
        <f t="shared" ref="G12:G28" si="0">IFERROR(E12/(E12+F12),"-")</f>
        <v>0.14037267080745341</v>
      </c>
      <c r="H12" s="572">
        <v>231</v>
      </c>
      <c r="I12" s="573">
        <v>1611</v>
      </c>
      <c r="J12" s="566">
        <f t="shared" ref="J12:J28" si="1">IFERROR(H12/(H12+I12),"-")</f>
        <v>0.1254071661237785</v>
      </c>
      <c r="K12" s="475"/>
      <c r="L12" s="475"/>
      <c r="M12" s="475"/>
    </row>
    <row r="13" spans="2:15">
      <c r="B13" s="3"/>
      <c r="C13" s="416" t="s">
        <v>99</v>
      </c>
      <c r="D13" s="416" t="s">
        <v>97</v>
      </c>
      <c r="E13" s="570">
        <v>94</v>
      </c>
      <c r="F13" s="571">
        <v>463</v>
      </c>
      <c r="G13" s="566">
        <f t="shared" si="0"/>
        <v>0.16876122082585279</v>
      </c>
      <c r="H13" s="572">
        <v>172</v>
      </c>
      <c r="I13" s="573">
        <v>937</v>
      </c>
      <c r="J13" s="566">
        <f t="shared" si="1"/>
        <v>0.1550946798917944</v>
      </c>
    </row>
    <row r="14" spans="2:15">
      <c r="B14" s="3"/>
      <c r="C14" s="416" t="s">
        <v>100</v>
      </c>
      <c r="D14" s="416" t="s">
        <v>97</v>
      </c>
      <c r="E14" s="570">
        <v>122</v>
      </c>
      <c r="F14" s="698">
        <v>830</v>
      </c>
      <c r="G14" s="699">
        <f>IFERROR(E14/(E14+F14),"-")</f>
        <v>0.12815126050420167</v>
      </c>
      <c r="H14" s="572">
        <v>179</v>
      </c>
      <c r="I14" s="573">
        <v>1287</v>
      </c>
      <c r="J14" s="699">
        <f>IFERROR(H14/(H14+I14),"-")</f>
        <v>0.12210095497953616</v>
      </c>
    </row>
    <row r="15" spans="2:15">
      <c r="B15" s="3"/>
      <c r="C15" s="416" t="s">
        <v>101</v>
      </c>
      <c r="D15" s="416" t="s">
        <v>97</v>
      </c>
      <c r="E15" s="570">
        <v>6230</v>
      </c>
      <c r="F15" s="571">
        <v>7037</v>
      </c>
      <c r="G15" s="566">
        <f t="shared" si="0"/>
        <v>0.46958619130172607</v>
      </c>
      <c r="H15" s="571">
        <v>7947</v>
      </c>
      <c r="I15" s="571">
        <v>12212</v>
      </c>
      <c r="J15" s="566">
        <f t="shared" si="1"/>
        <v>0.39421598293566151</v>
      </c>
    </row>
    <row r="16" spans="2:15">
      <c r="B16" s="2"/>
      <c r="C16" s="416" t="s">
        <v>102</v>
      </c>
      <c r="D16" s="416" t="s">
        <v>97</v>
      </c>
      <c r="E16" s="570">
        <v>26183</v>
      </c>
      <c r="F16" s="571">
        <v>12492</v>
      </c>
      <c r="G16" s="566">
        <f t="shared" si="0"/>
        <v>0.67700064641241109</v>
      </c>
      <c r="H16" s="571">
        <v>56224</v>
      </c>
      <c r="I16" s="571">
        <v>25015</v>
      </c>
      <c r="J16" s="566">
        <f t="shared" si="1"/>
        <v>0.69208138948042197</v>
      </c>
    </row>
    <row r="17" spans="2:10">
      <c r="B17" s="4" t="s">
        <v>104</v>
      </c>
      <c r="C17" s="416" t="s">
        <v>105</v>
      </c>
      <c r="D17" s="416" t="s">
        <v>97</v>
      </c>
      <c r="E17" s="570">
        <v>1</v>
      </c>
      <c r="F17" s="571">
        <v>26</v>
      </c>
      <c r="G17" s="566">
        <f t="shared" si="0"/>
        <v>3.7037037037037035E-2</v>
      </c>
      <c r="H17" s="571">
        <v>4</v>
      </c>
      <c r="I17" s="571">
        <v>38</v>
      </c>
      <c r="J17" s="566">
        <f t="shared" si="1"/>
        <v>9.5238095238095233E-2</v>
      </c>
    </row>
    <row r="18" spans="2:10">
      <c r="B18" s="3"/>
      <c r="C18" s="416" t="s">
        <v>106</v>
      </c>
      <c r="D18" s="27" t="s">
        <v>107</v>
      </c>
      <c r="E18" s="574">
        <v>152</v>
      </c>
      <c r="F18" s="574">
        <v>105</v>
      </c>
      <c r="G18" s="566">
        <f t="shared" si="0"/>
        <v>0.59143968871595332</v>
      </c>
      <c r="H18" s="571">
        <v>152</v>
      </c>
      <c r="I18" s="571">
        <v>105</v>
      </c>
      <c r="J18" s="566">
        <f t="shared" si="1"/>
        <v>0.59143968871595332</v>
      </c>
    </row>
    <row r="19" spans="2:10">
      <c r="B19" s="2"/>
      <c r="C19" s="416" t="s">
        <v>108</v>
      </c>
      <c r="D19" s="27" t="s">
        <v>107</v>
      </c>
      <c r="E19" s="574">
        <v>26</v>
      </c>
      <c r="F19" s="574">
        <v>81</v>
      </c>
      <c r="G19" s="566">
        <f t="shared" si="0"/>
        <v>0.24299065420560748</v>
      </c>
      <c r="H19" s="571">
        <v>26</v>
      </c>
      <c r="I19" s="571">
        <v>81</v>
      </c>
      <c r="J19" s="566">
        <f t="shared" si="1"/>
        <v>0.24299065420560748</v>
      </c>
    </row>
    <row r="20" spans="2:10" ht="30">
      <c r="B20" s="565" t="s">
        <v>109</v>
      </c>
      <c r="C20" s="416" t="s">
        <v>110</v>
      </c>
      <c r="D20" s="27" t="s">
        <v>107</v>
      </c>
      <c r="E20" s="574"/>
      <c r="F20" s="574"/>
      <c r="G20" s="566" t="str">
        <f t="shared" si="0"/>
        <v>-</v>
      </c>
      <c r="H20" s="571"/>
      <c r="I20" s="571"/>
      <c r="J20" s="566" t="str">
        <f t="shared" si="1"/>
        <v>-</v>
      </c>
    </row>
    <row r="21" spans="2:10">
      <c r="B21" s="565" t="s">
        <v>111</v>
      </c>
      <c r="C21" s="416" t="s">
        <v>112</v>
      </c>
      <c r="D21" s="27" t="s">
        <v>97</v>
      </c>
      <c r="E21" s="574">
        <v>0</v>
      </c>
      <c r="F21" s="574">
        <v>0</v>
      </c>
      <c r="G21" s="566" t="str">
        <f t="shared" si="0"/>
        <v>-</v>
      </c>
      <c r="H21" s="571">
        <v>0</v>
      </c>
      <c r="I21" s="571">
        <v>0</v>
      </c>
      <c r="J21" s="566" t="str">
        <f t="shared" si="1"/>
        <v>-</v>
      </c>
    </row>
    <row r="22" spans="2:10">
      <c r="B22" s="4" t="s">
        <v>113</v>
      </c>
      <c r="C22" s="416" t="s">
        <v>114</v>
      </c>
      <c r="D22" s="27" t="s">
        <v>97</v>
      </c>
      <c r="E22" s="574">
        <v>39</v>
      </c>
      <c r="F22" s="574">
        <v>40</v>
      </c>
      <c r="G22" s="566">
        <f t="shared" si="0"/>
        <v>0.49367088607594939</v>
      </c>
      <c r="H22" s="571">
        <v>77</v>
      </c>
      <c r="I22" s="571">
        <v>73</v>
      </c>
      <c r="J22" s="566">
        <f t="shared" si="1"/>
        <v>0.51333333333333331</v>
      </c>
    </row>
    <row r="23" spans="2:10">
      <c r="B23" s="3"/>
      <c r="C23" s="416" t="s">
        <v>115</v>
      </c>
      <c r="D23" s="27" t="s">
        <v>107</v>
      </c>
      <c r="E23" s="574">
        <v>0</v>
      </c>
      <c r="F23" s="574">
        <v>0</v>
      </c>
      <c r="G23" s="566" t="str">
        <f t="shared" si="0"/>
        <v>-</v>
      </c>
      <c r="H23" s="571">
        <v>0</v>
      </c>
      <c r="I23" s="571">
        <v>0</v>
      </c>
      <c r="J23" s="566" t="str">
        <f t="shared" si="1"/>
        <v>-</v>
      </c>
    </row>
    <row r="24" spans="2:10">
      <c r="B24" s="2"/>
      <c r="C24" s="416" t="s">
        <v>116</v>
      </c>
      <c r="D24" s="27" t="s">
        <v>107</v>
      </c>
      <c r="E24" s="574">
        <v>0</v>
      </c>
      <c r="F24" s="574">
        <v>0</v>
      </c>
      <c r="G24" s="566" t="str">
        <f t="shared" si="0"/>
        <v>-</v>
      </c>
      <c r="H24" s="571">
        <v>0</v>
      </c>
      <c r="I24" s="571">
        <v>0</v>
      </c>
      <c r="J24" s="566" t="str">
        <f t="shared" si="1"/>
        <v>-</v>
      </c>
    </row>
    <row r="25" spans="2:10">
      <c r="B25" s="4" t="s">
        <v>117</v>
      </c>
      <c r="C25" s="416" t="s">
        <v>105</v>
      </c>
      <c r="D25" s="27" t="s">
        <v>97</v>
      </c>
      <c r="E25" s="574">
        <v>0</v>
      </c>
      <c r="F25" s="574">
        <v>0</v>
      </c>
      <c r="G25" s="566" t="str">
        <f t="shared" si="0"/>
        <v>-</v>
      </c>
      <c r="H25" s="571">
        <v>0</v>
      </c>
      <c r="I25" s="571">
        <v>0</v>
      </c>
      <c r="J25" s="566" t="str">
        <f t="shared" si="1"/>
        <v>-</v>
      </c>
    </row>
    <row r="26" spans="2:10">
      <c r="B26" s="3"/>
      <c r="C26" s="416" t="s">
        <v>112</v>
      </c>
      <c r="D26" s="27" t="s">
        <v>97</v>
      </c>
      <c r="E26" s="574">
        <v>68</v>
      </c>
      <c r="F26" s="574">
        <v>295</v>
      </c>
      <c r="G26" s="566">
        <f t="shared" si="0"/>
        <v>0.18732782369146006</v>
      </c>
      <c r="H26" s="571">
        <v>68</v>
      </c>
      <c r="I26" s="571">
        <v>295</v>
      </c>
      <c r="J26" s="566">
        <f t="shared" si="1"/>
        <v>0.18732782369146006</v>
      </c>
    </row>
    <row r="27" spans="2:10">
      <c r="B27" s="3"/>
      <c r="C27" s="416" t="s">
        <v>114</v>
      </c>
      <c r="D27" s="27" t="s">
        <v>97</v>
      </c>
      <c r="E27" s="574">
        <v>0</v>
      </c>
      <c r="F27" s="574">
        <v>0</v>
      </c>
      <c r="G27" s="566" t="str">
        <f t="shared" si="0"/>
        <v>-</v>
      </c>
      <c r="H27" s="571">
        <v>0</v>
      </c>
      <c r="I27" s="571">
        <v>0</v>
      </c>
      <c r="J27" s="566" t="str">
        <f t="shared" si="1"/>
        <v>-</v>
      </c>
    </row>
    <row r="28" spans="2:10">
      <c r="B28" s="2"/>
      <c r="C28" s="416" t="s">
        <v>116</v>
      </c>
      <c r="D28" s="27" t="s">
        <v>97</v>
      </c>
      <c r="E28" s="574">
        <v>0</v>
      </c>
      <c r="F28" s="574">
        <v>0</v>
      </c>
      <c r="G28" s="566" t="str">
        <f t="shared" si="0"/>
        <v>-</v>
      </c>
      <c r="H28" s="571">
        <v>0</v>
      </c>
      <c r="I28" s="571">
        <v>0</v>
      </c>
      <c r="J28" s="566" t="str">
        <f t="shared" si="1"/>
        <v>-</v>
      </c>
    </row>
    <row r="29" spans="2:10">
      <c r="B29" s="569"/>
      <c r="C29" s="775" t="s">
        <v>118</v>
      </c>
      <c r="D29" s="776"/>
      <c r="E29" s="567">
        <f>SUMIF($D$11:$D$28,"Core",E$11:E$28)</f>
        <v>32872</v>
      </c>
      <c r="F29" s="567">
        <f>SUMIF($D$11:$D$28,"Core",F$11:F$28)</f>
        <v>22142</v>
      </c>
      <c r="G29" s="568">
        <f>E29/(E29+F29)</f>
        <v>0.59752063111208054</v>
      </c>
      <c r="H29" s="567">
        <f>SUMIF($D$11:$D$28,"Core",H$11:H$28)</f>
        <v>64961</v>
      </c>
      <c r="I29" s="567">
        <f>SUMIF($D$11:$D$28,"Core",I$11:I$28)</f>
        <v>42100</v>
      </c>
      <c r="J29" s="568">
        <f>H29/(H29+I29)</f>
        <v>0.60676623607102498</v>
      </c>
    </row>
    <row r="30" spans="2:10">
      <c r="B30" s="569"/>
      <c r="C30" s="775" t="s">
        <v>119</v>
      </c>
      <c r="D30" s="776"/>
      <c r="E30" s="567">
        <f>SUMIF($D$11:$D$28,"Additional",E$11:E$28)</f>
        <v>178</v>
      </c>
      <c r="F30" s="567">
        <f>SUMIF($D$11:$D$28,"Additional",F$11:F$28)</f>
        <v>186</v>
      </c>
      <c r="G30" s="568">
        <f>E30/(E30+F30)</f>
        <v>0.48901098901098899</v>
      </c>
      <c r="H30" s="567">
        <f>SUMIF($D$11:$D$28,"Additional",H$11:H$28)</f>
        <v>178</v>
      </c>
      <c r="I30" s="567">
        <f>SUMIF($D$11:$D$28,"Additional",I$11:I$28)</f>
        <v>186</v>
      </c>
      <c r="J30" s="568">
        <f>H30/(H30+I30)</f>
        <v>0.48901098901098899</v>
      </c>
    </row>
    <row r="31" spans="2:10">
      <c r="B31" s="569"/>
      <c r="C31" s="775" t="s">
        <v>120</v>
      </c>
      <c r="D31" s="776"/>
      <c r="E31" s="567">
        <f>SUM(E11:E28)</f>
        <v>33050</v>
      </c>
      <c r="F31" s="567">
        <f>SUM(F11:F28)</f>
        <v>22328</v>
      </c>
      <c r="G31" s="568">
        <f>E31/(E31+F31)</f>
        <v>0.59680739643901914</v>
      </c>
      <c r="H31" s="567">
        <f>SUM(H11:H28)</f>
        <v>65139</v>
      </c>
      <c r="I31" s="567">
        <f>SUM(I11:I28)</f>
        <v>42286</v>
      </c>
      <c r="J31" s="568">
        <f>H31/(H31+I31)</f>
        <v>0.60636723295322315</v>
      </c>
    </row>
    <row r="32" spans="2:10">
      <c r="B32" s="1" t="s">
        <v>30</v>
      </c>
      <c r="C32" s="1"/>
      <c r="D32" s="1"/>
      <c r="E32" s="1"/>
      <c r="F32" s="1"/>
      <c r="G32" s="1"/>
      <c r="H32" s="1"/>
      <c r="I32" s="1"/>
      <c r="J32" s="1"/>
    </row>
    <row r="33" spans="2:10">
      <c r="B33" s="4" t="s">
        <v>121</v>
      </c>
      <c r="C33" s="416" t="s">
        <v>96</v>
      </c>
      <c r="D33" s="416" t="s">
        <v>97</v>
      </c>
      <c r="E33" s="571">
        <v>13.997433600000001</v>
      </c>
      <c r="F33" s="571">
        <v>117.51389169999995</v>
      </c>
      <c r="G33" s="566">
        <f>IFERROR(E33/(E33+F33),"-")</f>
        <v>0.10643519535727776</v>
      </c>
      <c r="H33" s="571">
        <v>38.751809899999998</v>
      </c>
      <c r="I33" s="571">
        <v>297.23386669999974</v>
      </c>
      <c r="J33" s="566">
        <f>IFERROR(H33/(H33+I33),"-")</f>
        <v>0.11533768430889124</v>
      </c>
    </row>
    <row r="34" spans="2:10">
      <c r="B34" s="3"/>
      <c r="C34" s="416" t="s">
        <v>98</v>
      </c>
      <c r="D34" s="416" t="s">
        <v>97</v>
      </c>
      <c r="E34" s="571">
        <v>17.688658499999985</v>
      </c>
      <c r="F34" s="571">
        <v>93.925371400000543</v>
      </c>
      <c r="G34" s="566">
        <f t="shared" ref="G34:G50" si="2">IFERROR(E34/(E34+F34),"-")</f>
        <v>0.15848060065430808</v>
      </c>
      <c r="H34" s="571">
        <v>35.551311499999983</v>
      </c>
      <c r="I34" s="571">
        <v>200.98829230000072</v>
      </c>
      <c r="J34" s="566">
        <f>IFERROR(H34/(H34+I34),"-")</f>
        <v>0.15029750168204128</v>
      </c>
    </row>
    <row r="35" spans="2:10">
      <c r="B35" s="3"/>
      <c r="C35" s="416" t="s">
        <v>99</v>
      </c>
      <c r="D35" s="416" t="s">
        <v>97</v>
      </c>
      <c r="E35" s="571">
        <v>62.472999999999971</v>
      </c>
      <c r="F35" s="571">
        <v>346.69700000000125</v>
      </c>
      <c r="G35" s="566">
        <f t="shared" si="2"/>
        <v>0.15268225920766376</v>
      </c>
      <c r="H35" s="571">
        <v>148.1169999999999</v>
      </c>
      <c r="I35" s="571">
        <v>867.14900000000523</v>
      </c>
      <c r="J35" s="566">
        <f t="shared" ref="J35:J50" si="3">IFERROR(H35/(H35+I35),"-")</f>
        <v>0.1458898456168129</v>
      </c>
    </row>
    <row r="36" spans="2:10">
      <c r="B36" s="3"/>
      <c r="C36" s="416" t="s">
        <v>100</v>
      </c>
      <c r="D36" s="416" t="s">
        <v>97</v>
      </c>
      <c r="E36" s="571">
        <v>18.869553190000023</v>
      </c>
      <c r="F36" s="571">
        <v>111.2509792</v>
      </c>
      <c r="G36" s="566">
        <f t="shared" si="2"/>
        <v>0.14501595438791934</v>
      </c>
      <c r="H36" s="571">
        <v>26.412764190000026</v>
      </c>
      <c r="I36" s="571">
        <v>178.10882620000001</v>
      </c>
      <c r="J36" s="566">
        <f t="shared" si="3"/>
        <v>0.12914413651699955</v>
      </c>
    </row>
    <row r="37" spans="2:10">
      <c r="B37" s="3"/>
      <c r="C37" s="416" t="s">
        <v>101</v>
      </c>
      <c r="D37" s="416" t="s">
        <v>97</v>
      </c>
      <c r="E37" s="571">
        <v>1219.141655116</v>
      </c>
      <c r="F37" s="571">
        <v>861.81409680399975</v>
      </c>
      <c r="G37" s="566">
        <f t="shared" si="2"/>
        <v>0.58585659689839897</v>
      </c>
      <c r="H37" s="571">
        <v>1582.3401963512001</v>
      </c>
      <c r="I37" s="571">
        <v>2362.5517176487997</v>
      </c>
      <c r="J37" s="566">
        <f t="shared" si="3"/>
        <v>0.40111116624910403</v>
      </c>
    </row>
    <row r="38" spans="2:10">
      <c r="B38" s="2"/>
      <c r="C38" s="416" t="s">
        <v>102</v>
      </c>
      <c r="D38" s="416" t="s">
        <v>97</v>
      </c>
      <c r="E38" s="571">
        <v>4060.9199717000001</v>
      </c>
      <c r="F38" s="571">
        <v>1641.9738882999527</v>
      </c>
      <c r="G38" s="566">
        <f t="shared" si="2"/>
        <v>0.71208058073520475</v>
      </c>
      <c r="H38" s="571">
        <v>8687.1106531999976</v>
      </c>
      <c r="I38" s="571">
        <v>3379.5990068000028</v>
      </c>
      <c r="J38" s="566">
        <f t="shared" si="3"/>
        <v>0.7199237321501939</v>
      </c>
    </row>
    <row r="39" spans="2:10">
      <c r="B39" s="4" t="s">
        <v>122</v>
      </c>
      <c r="C39" s="416" t="s">
        <v>105</v>
      </c>
      <c r="D39" s="416" t="s">
        <v>97</v>
      </c>
      <c r="E39" s="571">
        <v>0.66951508699999995</v>
      </c>
      <c r="F39" s="571">
        <v>16.425793003999999</v>
      </c>
      <c r="G39" s="566">
        <f t="shared" si="2"/>
        <v>3.9163674818617225E-2</v>
      </c>
      <c r="H39" s="571">
        <v>3.9279010790406996</v>
      </c>
      <c r="I39" s="571">
        <v>34.236198769870697</v>
      </c>
      <c r="J39" s="566">
        <f t="shared" si="3"/>
        <v>0.10292136050872271</v>
      </c>
    </row>
    <row r="40" spans="2:10">
      <c r="B40" s="3"/>
      <c r="C40" s="416" t="s">
        <v>106</v>
      </c>
      <c r="D40" s="27" t="s">
        <v>107</v>
      </c>
      <c r="E40" s="571">
        <v>70.243677820000045</v>
      </c>
      <c r="F40" s="571">
        <v>59.040971096000014</v>
      </c>
      <c r="G40" s="566">
        <f t="shared" si="2"/>
        <v>0.54332574214313234</v>
      </c>
      <c r="H40" s="571">
        <v>70.243677820000045</v>
      </c>
      <c r="I40" s="571">
        <v>59.040971096000014</v>
      </c>
      <c r="J40" s="566">
        <f t="shared" si="3"/>
        <v>0.54332574214313234</v>
      </c>
    </row>
    <row r="41" spans="2:10">
      <c r="B41" s="2"/>
      <c r="C41" s="416" t="s">
        <v>108</v>
      </c>
      <c r="D41" s="27" t="s">
        <v>107</v>
      </c>
      <c r="E41" s="571">
        <v>30.081227864000002</v>
      </c>
      <c r="F41" s="571">
        <v>79.323498432000022</v>
      </c>
      <c r="G41" s="566">
        <f t="shared" si="2"/>
        <v>0.27495364124044985</v>
      </c>
      <c r="H41" s="571">
        <v>30.081227864000002</v>
      </c>
      <c r="I41" s="571">
        <v>79.323498432000022</v>
      </c>
      <c r="J41" s="566">
        <f t="shared" si="3"/>
        <v>0.27495364124044985</v>
      </c>
    </row>
    <row r="42" spans="2:10" ht="30">
      <c r="B42" s="565" t="s">
        <v>123</v>
      </c>
      <c r="C42" s="416" t="s">
        <v>110</v>
      </c>
      <c r="D42" s="27" t="s">
        <v>107</v>
      </c>
      <c r="E42" s="571"/>
      <c r="F42" s="571"/>
      <c r="G42" s="566" t="str">
        <f t="shared" si="2"/>
        <v>-</v>
      </c>
      <c r="H42" s="571"/>
      <c r="I42" s="571"/>
      <c r="J42" s="566" t="str">
        <f t="shared" si="3"/>
        <v>-</v>
      </c>
    </row>
    <row r="43" spans="2:10">
      <c r="B43" s="565" t="s">
        <v>111</v>
      </c>
      <c r="C43" s="416" t="s">
        <v>112</v>
      </c>
      <c r="D43" s="27" t="s">
        <v>97</v>
      </c>
      <c r="E43" s="571">
        <v>0</v>
      </c>
      <c r="F43" s="571">
        <v>0</v>
      </c>
      <c r="G43" s="566" t="str">
        <f t="shared" si="2"/>
        <v>-</v>
      </c>
      <c r="H43" s="571">
        <v>0</v>
      </c>
      <c r="I43" s="571">
        <v>0</v>
      </c>
      <c r="J43" s="566" t="str">
        <f t="shared" si="3"/>
        <v>-</v>
      </c>
    </row>
    <row r="44" spans="2:10">
      <c r="B44" s="4" t="s">
        <v>113</v>
      </c>
      <c r="C44" s="416" t="s">
        <v>114</v>
      </c>
      <c r="D44" s="27" t="s">
        <v>97</v>
      </c>
      <c r="E44" s="571">
        <v>1201.7149999999999</v>
      </c>
      <c r="F44" s="571">
        <v>2420.096</v>
      </c>
      <c r="G44" s="566">
        <f t="shared" si="2"/>
        <v>0.33179947821683681</v>
      </c>
      <c r="H44" s="571">
        <v>1785.1110000000001</v>
      </c>
      <c r="I44" s="571">
        <v>5373.9049999999997</v>
      </c>
      <c r="J44" s="566">
        <f t="shared" si="3"/>
        <v>0.24935144718212673</v>
      </c>
    </row>
    <row r="45" spans="2:10">
      <c r="B45" s="3"/>
      <c r="C45" s="416" t="s">
        <v>115</v>
      </c>
      <c r="D45" s="27" t="s">
        <v>107</v>
      </c>
      <c r="E45" s="571">
        <v>0</v>
      </c>
      <c r="F45" s="571">
        <v>0</v>
      </c>
      <c r="G45" s="566" t="str">
        <f t="shared" si="2"/>
        <v>-</v>
      </c>
      <c r="H45" s="571">
        <v>0</v>
      </c>
      <c r="I45" s="571">
        <v>0</v>
      </c>
      <c r="J45" s="566" t="str">
        <f t="shared" si="3"/>
        <v>-</v>
      </c>
    </row>
    <row r="46" spans="2:10">
      <c r="B46" s="2"/>
      <c r="C46" s="416" t="s">
        <v>116</v>
      </c>
      <c r="D46" s="27" t="s">
        <v>107</v>
      </c>
      <c r="E46" s="571">
        <v>0</v>
      </c>
      <c r="F46" s="571">
        <v>0</v>
      </c>
      <c r="G46" s="566" t="str">
        <f t="shared" si="2"/>
        <v>-</v>
      </c>
      <c r="H46" s="571">
        <v>0</v>
      </c>
      <c r="I46" s="571">
        <v>0</v>
      </c>
      <c r="J46" s="566" t="str">
        <f t="shared" si="3"/>
        <v>-</v>
      </c>
    </row>
    <row r="47" spans="2:10">
      <c r="B47" s="4" t="s">
        <v>117</v>
      </c>
      <c r="C47" s="416" t="s">
        <v>105</v>
      </c>
      <c r="D47" s="27" t="s">
        <v>97</v>
      </c>
      <c r="E47" s="571">
        <v>0</v>
      </c>
      <c r="F47" s="571">
        <v>0</v>
      </c>
      <c r="G47" s="566" t="str">
        <f t="shared" si="2"/>
        <v>-</v>
      </c>
      <c r="H47" s="571">
        <v>0</v>
      </c>
      <c r="I47" s="571">
        <v>0</v>
      </c>
      <c r="J47" s="566" t="str">
        <f t="shared" si="3"/>
        <v>-</v>
      </c>
    </row>
    <row r="48" spans="2:10">
      <c r="B48" s="3"/>
      <c r="C48" s="416" t="s">
        <v>112</v>
      </c>
      <c r="D48" s="27" t="s">
        <v>97</v>
      </c>
      <c r="E48" s="571">
        <v>35.111547554999994</v>
      </c>
      <c r="F48" s="571">
        <v>234.16263568400015</v>
      </c>
      <c r="G48" s="566">
        <f t="shared" si="2"/>
        <v>0.13039329330668131</v>
      </c>
      <c r="H48" s="571">
        <v>35.111547554999994</v>
      </c>
      <c r="I48" s="571">
        <v>234.16263568400015</v>
      </c>
      <c r="J48" s="566">
        <f t="shared" si="3"/>
        <v>0.13039329330668131</v>
      </c>
    </row>
    <row r="49" spans="2:10">
      <c r="B49" s="3"/>
      <c r="C49" s="416" t="s">
        <v>114</v>
      </c>
      <c r="D49" s="27" t="s">
        <v>97</v>
      </c>
      <c r="E49" s="571">
        <v>0</v>
      </c>
      <c r="F49" s="571">
        <v>0</v>
      </c>
      <c r="G49" s="566" t="str">
        <f t="shared" si="2"/>
        <v>-</v>
      </c>
      <c r="H49" s="571">
        <v>0</v>
      </c>
      <c r="I49" s="571">
        <v>0</v>
      </c>
      <c r="J49" s="566" t="str">
        <f t="shared" si="3"/>
        <v>-</v>
      </c>
    </row>
    <row r="50" spans="2:10">
      <c r="B50" s="2"/>
      <c r="C50" s="416" t="s">
        <v>116</v>
      </c>
      <c r="D50" s="27" t="s">
        <v>97</v>
      </c>
      <c r="E50" s="571">
        <v>0</v>
      </c>
      <c r="F50" s="571">
        <v>0</v>
      </c>
      <c r="G50" s="566" t="str">
        <f t="shared" si="2"/>
        <v>-</v>
      </c>
      <c r="H50" s="571">
        <v>0</v>
      </c>
      <c r="I50" s="571">
        <v>0</v>
      </c>
      <c r="J50" s="566" t="str">
        <f t="shared" si="3"/>
        <v>-</v>
      </c>
    </row>
    <row r="51" spans="2:10">
      <c r="B51" s="569"/>
      <c r="C51" s="775" t="s">
        <v>124</v>
      </c>
      <c r="D51" s="776"/>
      <c r="E51" s="567">
        <f>SUMIF($D$33:$D$50,"Core",E$33:E$50)</f>
        <v>6630.5863347479999</v>
      </c>
      <c r="F51" s="567">
        <f>SUMIF($D$33:$D$50,"Core",F$33:F$50)</f>
        <v>5843.8596560919532</v>
      </c>
      <c r="G51" s="568">
        <f>E51/(E51+F51)</f>
        <v>0.53153353179907725</v>
      </c>
      <c r="H51" s="567">
        <f>SUMIF($D$33:$D$50,"Core",H$33:H$50)</f>
        <v>12342.43418377524</v>
      </c>
      <c r="I51" s="567">
        <f>SUMIF($D$33:$D$50,"Core",I$33:I$50)</f>
        <v>12927.93454410268</v>
      </c>
      <c r="J51" s="568">
        <f>H51/(H51+I51)</f>
        <v>0.48841527864843692</v>
      </c>
    </row>
    <row r="52" spans="2:10">
      <c r="B52" s="569"/>
      <c r="C52" s="775" t="s">
        <v>125</v>
      </c>
      <c r="D52" s="776"/>
      <c r="E52" s="567">
        <f>SUMIF($D$33:$D$50,"Additional",E$33:E$50)</f>
        <v>100.32490568400004</v>
      </c>
      <c r="F52" s="567">
        <f>SUMIF($D$33:$D$50,"Additional",F$33:F$50)</f>
        <v>138.36446952800003</v>
      </c>
      <c r="G52" s="568">
        <f>E52/(E52+F52)</f>
        <v>0.42031575806377253</v>
      </c>
      <c r="H52" s="567">
        <f>SUMIF($D$33:$D$50,"Additional",H$33:H$50)</f>
        <v>100.32490568400004</v>
      </c>
      <c r="I52" s="567">
        <f>SUMIF($D$33:$D$50,"Additional",I$33:I$50)</f>
        <v>138.36446952800003</v>
      </c>
      <c r="J52" s="568">
        <f>H52/(H52+I52)</f>
        <v>0.42031575806377253</v>
      </c>
    </row>
    <row r="53" spans="2:10">
      <c r="B53" s="569"/>
      <c r="C53" s="775" t="s">
        <v>126</v>
      </c>
      <c r="D53" s="776"/>
      <c r="E53" s="567">
        <f>SUM(E33:E50)</f>
        <v>6730.9112404319994</v>
      </c>
      <c r="F53" s="567">
        <f>SUM(F33:F50)</f>
        <v>5982.2241256199532</v>
      </c>
      <c r="G53" s="568">
        <f>E53/(E53+F53)</f>
        <v>0.52944541583389704</v>
      </c>
      <c r="H53" s="567">
        <f>SUM(H33:H50)</f>
        <v>12442.759089459241</v>
      </c>
      <c r="I53" s="567">
        <f>SUM(I33:I50)</f>
        <v>13066.299013630678</v>
      </c>
      <c r="J53" s="568">
        <f>H53/(H53+I53)</f>
        <v>0.48777806844824451</v>
      </c>
    </row>
    <row r="54" spans="2:10">
      <c r="B54" s="1" t="s">
        <v>127</v>
      </c>
      <c r="C54" s="1"/>
      <c r="D54" s="1"/>
      <c r="E54" s="1"/>
      <c r="F54" s="1"/>
      <c r="G54" s="1"/>
      <c r="H54" s="1"/>
      <c r="I54" s="1"/>
      <c r="J54" s="1"/>
    </row>
    <row r="55" spans="2:10">
      <c r="B55" s="4" t="s">
        <v>121</v>
      </c>
      <c r="C55" s="416" t="s">
        <v>96</v>
      </c>
      <c r="D55" s="416" t="s">
        <v>97</v>
      </c>
      <c r="E55" s="571">
        <v>226.42058119999999</v>
      </c>
      <c r="F55" s="571">
        <v>1840.2851843000003</v>
      </c>
      <c r="G55" s="566">
        <f t="shared" ref="G55:G72" si="4">IFERROR(E55/(E55+F55),"-")</f>
        <v>0.10955627306977674</v>
      </c>
      <c r="H55" s="571">
        <v>633.71735269999999</v>
      </c>
      <c r="I55" s="571">
        <v>4693.7196779000005</v>
      </c>
      <c r="J55" s="566">
        <f t="shared" ref="J55:J72" si="5">IFERROR(H55/(H55+I55),"-")</f>
        <v>0.11895351349251478</v>
      </c>
    </row>
    <row r="56" spans="2:10">
      <c r="B56" s="3"/>
      <c r="C56" s="416" t="s">
        <v>98</v>
      </c>
      <c r="D56" s="416" t="s">
        <v>97</v>
      </c>
      <c r="E56" s="571">
        <v>190.28380099999987</v>
      </c>
      <c r="F56" s="571">
        <v>1020.9212852000062</v>
      </c>
      <c r="G56" s="566">
        <f t="shared" si="4"/>
        <v>0.15710287478810864</v>
      </c>
      <c r="H56" s="571">
        <v>385.70112499999959</v>
      </c>
      <c r="I56" s="571">
        <v>2229.2190962000145</v>
      </c>
      <c r="J56" s="566">
        <f t="shared" si="5"/>
        <v>0.14750015005161318</v>
      </c>
    </row>
    <row r="57" spans="2:10">
      <c r="B57" s="3"/>
      <c r="C57" s="416" t="s">
        <v>99</v>
      </c>
      <c r="D57" s="416" t="s">
        <v>97</v>
      </c>
      <c r="E57" s="571">
        <v>295.35600000000022</v>
      </c>
      <c r="F57" s="571">
        <v>1623.7800000000013</v>
      </c>
      <c r="G57" s="566">
        <f t="shared" si="4"/>
        <v>0.1539005052273523</v>
      </c>
      <c r="H57" s="571">
        <v>723.57600000000059</v>
      </c>
      <c r="I57" s="571">
        <v>4226.0399999999936</v>
      </c>
      <c r="J57" s="566">
        <f t="shared" si="5"/>
        <v>0.14618831036589533</v>
      </c>
    </row>
    <row r="58" spans="2:10">
      <c r="B58" s="3"/>
      <c r="C58" s="416" t="s">
        <v>100</v>
      </c>
      <c r="D58" s="416" t="s">
        <v>97</v>
      </c>
      <c r="E58" s="571">
        <v>157.56952285000017</v>
      </c>
      <c r="F58" s="571">
        <v>961.45408769999995</v>
      </c>
      <c r="G58" s="566">
        <f t="shared" si="4"/>
        <v>0.14080982864387889</v>
      </c>
      <c r="H58" s="571">
        <v>229.67288185000018</v>
      </c>
      <c r="I58" s="571">
        <v>1585.380091</v>
      </c>
      <c r="J58" s="566">
        <f t="shared" si="5"/>
        <v>0.12653783954821293</v>
      </c>
    </row>
    <row r="59" spans="2:10">
      <c r="B59" s="3"/>
      <c r="C59" s="416" t="s">
        <v>101</v>
      </c>
      <c r="D59" s="416" t="s">
        <v>97</v>
      </c>
      <c r="E59" s="571">
        <v>15821.415426739999</v>
      </c>
      <c r="F59" s="571">
        <v>12373.434266259997</v>
      </c>
      <c r="G59" s="566">
        <f t="shared" si="4"/>
        <v>0.5611455850629351</v>
      </c>
      <c r="H59" s="571">
        <v>20534.825865268002</v>
      </c>
      <c r="I59" s="571">
        <v>30660.023827731995</v>
      </c>
      <c r="J59" s="566">
        <f t="shared" si="5"/>
        <v>0.40111116622881271</v>
      </c>
    </row>
    <row r="60" spans="2:10">
      <c r="B60" s="2"/>
      <c r="C60" s="416" t="s">
        <v>102</v>
      </c>
      <c r="D60" s="416" t="s">
        <v>97</v>
      </c>
      <c r="E60" s="571">
        <v>60913.799575499994</v>
      </c>
      <c r="F60" s="571">
        <v>24629.845224500015</v>
      </c>
      <c r="G60" s="566">
        <f t="shared" si="4"/>
        <v>0.71207860873727924</v>
      </c>
      <c r="H60" s="571">
        <v>130306.65979799995</v>
      </c>
      <c r="I60" s="571">
        <v>50693.985002000059</v>
      </c>
      <c r="J60" s="566">
        <f t="shared" si="5"/>
        <v>0.71992373254794029</v>
      </c>
    </row>
    <row r="61" spans="2:10">
      <c r="B61" s="4" t="s">
        <v>122</v>
      </c>
      <c r="C61" s="416" t="s">
        <v>105</v>
      </c>
      <c r="D61" s="416" t="s">
        <v>97</v>
      </c>
      <c r="E61" s="571">
        <v>19.636725970000001</v>
      </c>
      <c r="F61" s="571">
        <v>485.39194686300004</v>
      </c>
      <c r="G61" s="566">
        <f t="shared" si="4"/>
        <v>3.8882398220770643E-2</v>
      </c>
      <c r="H61" s="571">
        <v>99.058681523713005</v>
      </c>
      <c r="I61" s="571">
        <v>899.67635577162605</v>
      </c>
      <c r="J61" s="566">
        <f t="shared" si="5"/>
        <v>9.9184145769004459E-2</v>
      </c>
    </row>
    <row r="62" spans="2:10">
      <c r="B62" s="3"/>
      <c r="C62" s="416" t="s">
        <v>106</v>
      </c>
      <c r="D62" s="27" t="s">
        <v>107</v>
      </c>
      <c r="E62" s="571">
        <v>909.23876423400043</v>
      </c>
      <c r="F62" s="571">
        <v>812.6444352650002</v>
      </c>
      <c r="G62" s="566">
        <f t="shared" si="4"/>
        <v>0.52804903636817679</v>
      </c>
      <c r="H62" s="571">
        <v>909.23876423400043</v>
      </c>
      <c r="I62" s="571">
        <v>812.6444352650002</v>
      </c>
      <c r="J62" s="566">
        <f t="shared" si="5"/>
        <v>0.52804903636817679</v>
      </c>
    </row>
    <row r="63" spans="2:10">
      <c r="B63" s="2"/>
      <c r="C63" s="416" t="s">
        <v>108</v>
      </c>
      <c r="D63" s="27" t="s">
        <v>107</v>
      </c>
      <c r="E63" s="571">
        <v>339.49690035899999</v>
      </c>
      <c r="F63" s="571">
        <v>1023.9034057960002</v>
      </c>
      <c r="G63" s="566">
        <f t="shared" si="4"/>
        <v>0.24900749899083841</v>
      </c>
      <c r="H63" s="571">
        <v>339.49690035899999</v>
      </c>
      <c r="I63" s="571">
        <v>1023.9034057960002</v>
      </c>
      <c r="J63" s="566">
        <f t="shared" si="5"/>
        <v>0.24900749899083841</v>
      </c>
    </row>
    <row r="64" spans="2:10" ht="30">
      <c r="B64" s="565" t="s">
        <v>123</v>
      </c>
      <c r="C64" s="416" t="s">
        <v>110</v>
      </c>
      <c r="D64" s="27" t="s">
        <v>107</v>
      </c>
      <c r="E64" s="571"/>
      <c r="F64" s="571"/>
      <c r="G64" s="566" t="str">
        <f t="shared" si="4"/>
        <v>-</v>
      </c>
      <c r="H64" s="571"/>
      <c r="I64" s="571"/>
      <c r="J64" s="566" t="str">
        <f t="shared" si="5"/>
        <v>-</v>
      </c>
    </row>
    <row r="65" spans="2:10">
      <c r="B65" s="565" t="s">
        <v>111</v>
      </c>
      <c r="C65" s="416" t="s">
        <v>112</v>
      </c>
      <c r="D65" s="27" t="s">
        <v>97</v>
      </c>
      <c r="E65" s="571">
        <v>0</v>
      </c>
      <c r="F65" s="571">
        <v>0</v>
      </c>
      <c r="G65" s="566" t="str">
        <f t="shared" si="4"/>
        <v>-</v>
      </c>
      <c r="H65" s="571">
        <v>0</v>
      </c>
      <c r="I65" s="571">
        <v>0</v>
      </c>
      <c r="J65" s="566" t="str">
        <f t="shared" si="5"/>
        <v>-</v>
      </c>
    </row>
    <row r="66" spans="2:10">
      <c r="B66" s="4" t="s">
        <v>113</v>
      </c>
      <c r="C66" s="416" t="s">
        <v>114</v>
      </c>
      <c r="D66" s="27" t="s">
        <v>97</v>
      </c>
      <c r="E66" s="571">
        <v>17282.365000000002</v>
      </c>
      <c r="F66" s="571">
        <v>35843.874000000003</v>
      </c>
      <c r="G66" s="566">
        <f t="shared" si="4"/>
        <v>0.32530751894558169</v>
      </c>
      <c r="H66" s="571">
        <v>25980.982</v>
      </c>
      <c r="I66" s="571">
        <v>79380.104000000007</v>
      </c>
      <c r="J66" s="566">
        <f t="shared" si="5"/>
        <v>0.24658992220334552</v>
      </c>
    </row>
    <row r="67" spans="2:10">
      <c r="B67" s="3"/>
      <c r="C67" s="416" t="s">
        <v>115</v>
      </c>
      <c r="D67" s="27" t="s">
        <v>107</v>
      </c>
      <c r="E67" s="571">
        <v>0</v>
      </c>
      <c r="F67" s="571">
        <v>0</v>
      </c>
      <c r="G67" s="566" t="str">
        <f t="shared" si="4"/>
        <v>-</v>
      </c>
      <c r="H67" s="571">
        <v>0</v>
      </c>
      <c r="I67" s="571">
        <v>0</v>
      </c>
      <c r="J67" s="566" t="str">
        <f t="shared" si="5"/>
        <v>-</v>
      </c>
    </row>
    <row r="68" spans="2:10">
      <c r="B68" s="2"/>
      <c r="C68" s="416" t="s">
        <v>116</v>
      </c>
      <c r="D68" s="27" t="s">
        <v>107</v>
      </c>
      <c r="E68" s="571">
        <v>0</v>
      </c>
      <c r="F68" s="571">
        <v>0</v>
      </c>
      <c r="G68" s="566" t="str">
        <f t="shared" si="4"/>
        <v>-</v>
      </c>
      <c r="H68" s="571">
        <v>0</v>
      </c>
      <c r="I68" s="571">
        <v>0</v>
      </c>
      <c r="J68" s="566" t="str">
        <f t="shared" si="5"/>
        <v>-</v>
      </c>
    </row>
    <row r="69" spans="2:10">
      <c r="B69" s="4" t="s">
        <v>117</v>
      </c>
      <c r="C69" s="416" t="s">
        <v>105</v>
      </c>
      <c r="D69" s="27" t="s">
        <v>97</v>
      </c>
      <c r="E69" s="571">
        <v>0</v>
      </c>
      <c r="F69" s="571">
        <v>0</v>
      </c>
      <c r="G69" s="566" t="str">
        <f t="shared" si="4"/>
        <v>-</v>
      </c>
      <c r="H69" s="571">
        <v>0</v>
      </c>
      <c r="I69" s="571">
        <v>0</v>
      </c>
      <c r="J69" s="566" t="str">
        <f t="shared" si="5"/>
        <v>-</v>
      </c>
    </row>
    <row r="70" spans="2:10">
      <c r="B70" s="3"/>
      <c r="C70" s="416" t="s">
        <v>112</v>
      </c>
      <c r="D70" s="27" t="s">
        <v>97</v>
      </c>
      <c r="E70" s="571">
        <v>453.274013325</v>
      </c>
      <c r="F70" s="571">
        <v>2493.0800730259989</v>
      </c>
      <c r="G70" s="566">
        <f t="shared" si="4"/>
        <v>0.15384234210843642</v>
      </c>
      <c r="H70" s="571">
        <v>453.274013325</v>
      </c>
      <c r="I70" s="571">
        <v>2493.0800730259989</v>
      </c>
      <c r="J70" s="566">
        <f t="shared" si="5"/>
        <v>0.15384234210843642</v>
      </c>
    </row>
    <row r="71" spans="2:10">
      <c r="B71" s="3"/>
      <c r="C71" s="416" t="s">
        <v>114</v>
      </c>
      <c r="D71" s="27" t="s">
        <v>97</v>
      </c>
      <c r="E71" s="571">
        <v>0</v>
      </c>
      <c r="F71" s="571">
        <v>0</v>
      </c>
      <c r="G71" s="566" t="str">
        <f t="shared" si="4"/>
        <v>-</v>
      </c>
      <c r="H71" s="571">
        <v>0</v>
      </c>
      <c r="I71" s="571">
        <v>0</v>
      </c>
      <c r="J71" s="566" t="str">
        <f t="shared" si="5"/>
        <v>-</v>
      </c>
    </row>
    <row r="72" spans="2:10">
      <c r="B72" s="2"/>
      <c r="C72" s="416" t="s">
        <v>116</v>
      </c>
      <c r="D72" s="27" t="s">
        <v>97</v>
      </c>
      <c r="E72" s="571">
        <v>0</v>
      </c>
      <c r="F72" s="571">
        <v>0</v>
      </c>
      <c r="G72" s="566" t="str">
        <f t="shared" si="4"/>
        <v>-</v>
      </c>
      <c r="H72" s="571">
        <v>0</v>
      </c>
      <c r="I72" s="571">
        <v>0</v>
      </c>
      <c r="J72" s="566" t="str">
        <f t="shared" si="5"/>
        <v>-</v>
      </c>
    </row>
    <row r="73" spans="2:10">
      <c r="B73" s="569"/>
      <c r="C73" s="775" t="s">
        <v>128</v>
      </c>
      <c r="D73" s="776"/>
      <c r="E73" s="567">
        <f>SUMIF($D$55:$D$72,"Core",E$55:E$72)</f>
        <v>95360.120646585012</v>
      </c>
      <c r="F73" s="567">
        <f>SUMIF($D$55:$D$72,"Core",F$55:F$72)</f>
        <v>81272.066067849009</v>
      </c>
      <c r="G73" s="568">
        <f>E73/(E73+F73)</f>
        <v>0.53987963587155419</v>
      </c>
      <c r="H73" s="567">
        <f>SUMIF($D$55:$D$72,"Core",H$55:H$72)</f>
        <v>179347.46771766664</v>
      </c>
      <c r="I73" s="567">
        <f>SUMIF($D$55:$D$72,"Core",I$55:I$72)</f>
        <v>176861.2281236297</v>
      </c>
      <c r="J73" s="568">
        <f>H73/(H73+I73)</f>
        <v>0.50348986369937565</v>
      </c>
    </row>
    <row r="74" spans="2:10">
      <c r="B74" s="569"/>
      <c r="C74" s="775" t="s">
        <v>129</v>
      </c>
      <c r="D74" s="776"/>
      <c r="E74" s="567">
        <f>SUMIF($D$55:$D$72,"Additional",E$55:E$72)</f>
        <v>1248.7356645930004</v>
      </c>
      <c r="F74" s="567">
        <f>SUMIF($D$55:$D$72,"Additional",F$55:F$72)</f>
        <v>1836.5478410610003</v>
      </c>
      <c r="G74" s="568">
        <f>E74/(E74+F74)</f>
        <v>0.40473935776229436</v>
      </c>
      <c r="H74" s="567">
        <f>SUMIF($D$55:$D$72,"Additional",H$55:H$72)</f>
        <v>1248.7356645930004</v>
      </c>
      <c r="I74" s="567">
        <f>SUMIF($D$55:$D$72,"Additional",I$55:I$72)</f>
        <v>1836.5478410610003</v>
      </c>
      <c r="J74" s="568">
        <f>H74/(H74+I74)</f>
        <v>0.40473935776229436</v>
      </c>
    </row>
    <row r="75" spans="2:10">
      <c r="B75" s="569"/>
      <c r="C75" s="775" t="s">
        <v>130</v>
      </c>
      <c r="D75" s="776"/>
      <c r="E75" s="567">
        <f>SUM(E55:E72)</f>
        <v>96608.856311178009</v>
      </c>
      <c r="F75" s="567">
        <f>SUM(F55:F72)</f>
        <v>83108.613908910018</v>
      </c>
      <c r="G75" s="568">
        <f>E75/(E75+F75)</f>
        <v>0.5375596273020512</v>
      </c>
      <c r="H75" s="567">
        <f>SUM(H55:H72)</f>
        <v>180596.20338225964</v>
      </c>
      <c r="I75" s="567">
        <f>SUM(I55:I72)</f>
        <v>178697.77596469072</v>
      </c>
      <c r="J75" s="568">
        <f>H75/(H75+I75)</f>
        <v>0.50264188593003911</v>
      </c>
    </row>
    <row r="76" spans="2:10" ht="56.25" customHeight="1">
      <c r="B76" s="777" t="s">
        <v>131</v>
      </c>
      <c r="C76" s="778"/>
      <c r="D76" s="778"/>
      <c r="E76" s="778"/>
      <c r="F76" s="778"/>
      <c r="G76" s="778"/>
      <c r="H76" s="778"/>
      <c r="I76" s="778"/>
      <c r="J76" s="778"/>
    </row>
  </sheetData>
  <mergeCells count="25">
    <mergeCell ref="B69:B72"/>
    <mergeCell ref="C73:D73"/>
    <mergeCell ref="C74:D74"/>
    <mergeCell ref="C75:D75"/>
    <mergeCell ref="B76:J76"/>
    <mergeCell ref="C53:D53"/>
    <mergeCell ref="B54:J54"/>
    <mergeCell ref="B55:B60"/>
    <mergeCell ref="B61:B63"/>
    <mergeCell ref="B66:B68"/>
    <mergeCell ref="B39:B41"/>
    <mergeCell ref="B44:B46"/>
    <mergeCell ref="B47:B50"/>
    <mergeCell ref="C51:D51"/>
    <mergeCell ref="C52:D52"/>
    <mergeCell ref="B33:B38"/>
    <mergeCell ref="B10:J10"/>
    <mergeCell ref="B32:J32"/>
    <mergeCell ref="B11:B16"/>
    <mergeCell ref="B17:B19"/>
    <mergeCell ref="B22:B24"/>
    <mergeCell ref="B25:B28"/>
    <mergeCell ref="C29:D29"/>
    <mergeCell ref="C30:D30"/>
    <mergeCell ref="C31:D31"/>
  </mergeCells>
  <pageMargins left="0.7" right="0.7" top="0.75" bottom="0.75" header="0.3" footer="0.3"/>
  <pageSetup orientation="portrait" r:id="rId1"/>
  <ignoredErrors>
    <ignoredError sqref="G31 G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heetViews>
  <sheetFormatPr defaultColWidth="9.140625" defaultRowHeight="15"/>
  <sheetData>
    <row r="2" spans="2:2">
      <c r="B2" s="488" t="s">
        <v>134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sheetViews>
  <sheetFormatPr defaultColWidth="9.140625" defaultRowHeight="15"/>
  <cols>
    <col min="1" max="1" width="16.5703125" customWidth="1"/>
    <col min="2" max="2" width="16.140625" customWidth="1"/>
    <col min="3" max="3" width="34.85546875" bestFit="1"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7109375" customWidth="1"/>
  </cols>
  <sheetData>
    <row r="1" spans="1:13" ht="23.1" customHeight="1">
      <c r="A1" t="s">
        <v>135</v>
      </c>
      <c r="B1" s="23" t="s">
        <v>136</v>
      </c>
    </row>
    <row r="2" spans="1:13">
      <c r="A2" s="779" t="s">
        <v>137</v>
      </c>
      <c r="B2" s="779"/>
      <c r="C2" s="780"/>
      <c r="D2" s="282"/>
      <c r="E2" s="283" t="s">
        <v>94</v>
      </c>
      <c r="F2" s="781" t="s">
        <v>138</v>
      </c>
      <c r="G2" s="782"/>
      <c r="H2" s="783"/>
      <c r="I2" s="784" t="s">
        <v>139</v>
      </c>
      <c r="J2" s="785"/>
      <c r="K2" s="785"/>
      <c r="L2" s="785"/>
      <c r="M2" s="786"/>
    </row>
    <row r="3" spans="1:13" ht="75">
      <c r="A3" s="284" t="s">
        <v>140</v>
      </c>
      <c r="B3" s="285" t="s">
        <v>141</v>
      </c>
      <c r="C3" s="286" t="s">
        <v>142</v>
      </c>
      <c r="D3" s="286" t="s">
        <v>143</v>
      </c>
      <c r="E3" s="287" t="s">
        <v>144</v>
      </c>
      <c r="F3" s="288" t="s">
        <v>145</v>
      </c>
      <c r="G3" s="288" t="s">
        <v>146</v>
      </c>
      <c r="H3" s="288" t="s">
        <v>147</v>
      </c>
      <c r="I3" s="289" t="s">
        <v>148</v>
      </c>
      <c r="J3" s="289" t="s">
        <v>149</v>
      </c>
      <c r="K3" s="290" t="s">
        <v>150</v>
      </c>
      <c r="L3" s="290" t="s">
        <v>151</v>
      </c>
      <c r="M3" s="290" t="s">
        <v>152</v>
      </c>
    </row>
    <row r="4" spans="1:13">
      <c r="A4" s="291" t="s">
        <v>153</v>
      </c>
      <c r="B4" s="292" t="s">
        <v>43</v>
      </c>
      <c r="C4" s="291" t="s">
        <v>121</v>
      </c>
      <c r="D4" s="293" t="s">
        <v>96</v>
      </c>
      <c r="E4" s="291">
        <f>'Ap B - Qtr Electric Master'!$F$8</f>
        <v>691</v>
      </c>
      <c r="F4" s="295"/>
      <c r="G4" s="296">
        <f>SUM(' Ap C - Qtr Electric LMI'!$F$8:$G$8)</f>
        <v>235.36212999999998</v>
      </c>
      <c r="H4" s="296">
        <f>'Ap B - Qtr Electric Master'!$J$8</f>
        <v>670.3175</v>
      </c>
      <c r="I4" s="297">
        <f>'Ap B - Qtr Electric Master'!$N$8</f>
        <v>335.98567700000001</v>
      </c>
      <c r="J4" s="297">
        <f>'Ap B - Qtr Electric Master'!$S$8</f>
        <v>5327.4370305999937</v>
      </c>
      <c r="K4" s="463">
        <f>'Ap B - Qtr Electric Master'!$Q$8</f>
        <v>0.13936948699999999</v>
      </c>
      <c r="L4" s="27"/>
      <c r="M4" s="27"/>
    </row>
    <row r="5" spans="1:13">
      <c r="A5" s="291" t="s">
        <v>153</v>
      </c>
      <c r="B5" s="292" t="s">
        <v>43</v>
      </c>
      <c r="C5" s="291" t="s">
        <v>121</v>
      </c>
      <c r="D5" s="293" t="s">
        <v>98</v>
      </c>
      <c r="E5" s="291">
        <f>'Ap B - Qtr Electric Master'!$F$9</f>
        <v>1842</v>
      </c>
      <c r="F5" s="295"/>
      <c r="G5" s="296"/>
      <c r="H5" s="296">
        <f>'Ap B - Qtr Electric Master'!$J$9</f>
        <v>913.45319999999992</v>
      </c>
      <c r="I5" s="297">
        <f>'Ap B - Qtr Electric Master'!$N$9</f>
        <v>236.539604</v>
      </c>
      <c r="J5" s="297">
        <f>'Ap B - Qtr Electric Master'!$S$9</f>
        <v>2614.9202212000205</v>
      </c>
      <c r="K5" s="463">
        <f>'Ap B - Qtr Electric Master'!$Q$9</f>
        <v>2.8986367999999998E-2</v>
      </c>
      <c r="L5" s="27"/>
      <c r="M5" s="27"/>
    </row>
    <row r="6" spans="1:13">
      <c r="A6" s="291" t="s">
        <v>153</v>
      </c>
      <c r="B6" s="292" t="s">
        <v>43</v>
      </c>
      <c r="C6" s="291" t="s">
        <v>121</v>
      </c>
      <c r="D6" s="293" t="s">
        <v>99</v>
      </c>
      <c r="E6" s="291">
        <f>'Ap B - Qtr Electric Master'!$F$10</f>
        <v>1109</v>
      </c>
      <c r="F6" s="295"/>
      <c r="G6" s="296"/>
      <c r="H6" s="296">
        <f>'Ap B - Qtr Electric Master'!$J$10</f>
        <v>385.92363</v>
      </c>
      <c r="I6" s="297">
        <f>'Ap B - Qtr Electric Master'!$N$10</f>
        <v>1015.266</v>
      </c>
      <c r="J6" s="297">
        <f>'Ap B - Qtr Electric Master'!$S$10</f>
        <v>4949.616</v>
      </c>
      <c r="K6" s="463">
        <f>'Ap B - Qtr Electric Master'!$Q$10</f>
        <v>0.163768</v>
      </c>
      <c r="L6" s="27"/>
      <c r="M6" s="27"/>
    </row>
    <row r="7" spans="1:13">
      <c r="A7" s="291" t="s">
        <v>153</v>
      </c>
      <c r="B7" s="292" t="s">
        <v>43</v>
      </c>
      <c r="C7" s="291" t="s">
        <v>121</v>
      </c>
      <c r="D7" s="293" t="s">
        <v>100</v>
      </c>
      <c r="E7" s="291">
        <f>'Ap B - Qtr Electric Master'!$F$11</f>
        <v>1466</v>
      </c>
      <c r="F7" s="295"/>
      <c r="G7" s="296"/>
      <c r="H7" s="296">
        <f>'Ap B - Qtr Electric Master'!$J$11</f>
        <v>199.90569000000005</v>
      </c>
      <c r="I7" s="297"/>
      <c r="J7" s="297"/>
      <c r="K7" s="463"/>
      <c r="L7" s="27"/>
      <c r="M7" s="27"/>
    </row>
    <row r="8" spans="1:13">
      <c r="A8" s="291" t="s">
        <v>153</v>
      </c>
      <c r="B8" s="292" t="s">
        <v>43</v>
      </c>
      <c r="C8" s="291" t="s">
        <v>121</v>
      </c>
      <c r="D8" s="293" t="s">
        <v>101</v>
      </c>
      <c r="E8" s="291">
        <f>'Ap B - Qtr Electric Master'!$F$12</f>
        <v>20159</v>
      </c>
      <c r="F8" s="295"/>
      <c r="G8" s="296">
        <f>SUM(' Ap C - Qtr Electric LMI'!$F$9:$G$9)</f>
        <v>558.60589000000004</v>
      </c>
      <c r="H8" s="296">
        <f>'Ap B - Qtr Electric Master'!$J$12</f>
        <v>0</v>
      </c>
      <c r="I8" s="297">
        <f>'Ap B - Qtr Electric Master'!$N$12</f>
        <v>3944.8919139999998</v>
      </c>
      <c r="J8" s="297">
        <f>'Ap B - Qtr Electric Master'!$S$12</f>
        <v>51194.849692999996</v>
      </c>
      <c r="K8" s="463">
        <f>'Ap B - Qtr Electric Master'!$Q$12</f>
        <v>0.34331</v>
      </c>
      <c r="L8" s="27"/>
      <c r="M8" s="27"/>
    </row>
    <row r="9" spans="1:13">
      <c r="A9" s="291" t="s">
        <v>153</v>
      </c>
      <c r="B9" s="292" t="s">
        <v>43</v>
      </c>
      <c r="C9" s="291" t="s">
        <v>121</v>
      </c>
      <c r="D9" s="298" t="s">
        <v>102</v>
      </c>
      <c r="E9" s="299">
        <f>'Ap B - Qtr Electric Master'!$F$13</f>
        <v>81239</v>
      </c>
      <c r="F9" s="295"/>
      <c r="G9" s="296">
        <f>SUM(' Ap C - Qtr Electric LMI'!$F$10:$G$10)</f>
        <v>637.58674999999994</v>
      </c>
      <c r="H9" s="296">
        <f>'Ap B - Qtr Electric Master'!$J$13</f>
        <v>455.91483000000005</v>
      </c>
      <c r="I9" s="297">
        <f>'Ap B - Qtr Electric Master'!$N$13</f>
        <v>12066.70966</v>
      </c>
      <c r="J9" s="297">
        <f>'Ap B - Qtr Electric Master'!$S$13</f>
        <v>181000.64480000001</v>
      </c>
      <c r="K9" s="463">
        <f>'Ap B - Qtr Electric Master'!$Q$13</f>
        <v>0.90447843500000003</v>
      </c>
      <c r="L9" s="27"/>
      <c r="M9" s="27"/>
    </row>
    <row r="10" spans="1:13">
      <c r="A10" s="291" t="s">
        <v>153</v>
      </c>
      <c r="B10" s="292" t="s">
        <v>43</v>
      </c>
      <c r="C10" s="291" t="s">
        <v>121</v>
      </c>
      <c r="D10" s="293"/>
      <c r="E10" s="294"/>
      <c r="F10" s="535">
        <f>'Ap B - Qtr Electric Master'!$I$14</f>
        <v>5012.5690000000004</v>
      </c>
      <c r="G10" s="536"/>
      <c r="H10" s="536"/>
      <c r="I10" s="297"/>
      <c r="J10" s="297"/>
      <c r="K10" s="463"/>
      <c r="L10" s="27"/>
      <c r="M10" s="27"/>
    </row>
    <row r="11" spans="1:13">
      <c r="A11" s="291" t="s">
        <v>153</v>
      </c>
      <c r="B11" s="292" t="s">
        <v>43</v>
      </c>
      <c r="C11" s="291" t="s">
        <v>122</v>
      </c>
      <c r="D11" s="293" t="s">
        <v>154</v>
      </c>
      <c r="E11" s="294">
        <f>'Ap B - Qtr Electric Master'!$F$15</f>
        <v>42</v>
      </c>
      <c r="F11" s="535">
        <f>'Ap B - Qtr Electric Master'!$I$15</f>
        <v>2943.2649999999999</v>
      </c>
      <c r="G11" s="536">
        <f>SUM(' Ap C - Qtr Electric LMI'!$F$11:$G$11)</f>
        <v>179.94399999999999</v>
      </c>
      <c r="H11" s="536">
        <f>'Ap B - Qtr Electric Master'!$J$15</f>
        <v>603.37778000000003</v>
      </c>
      <c r="I11" s="297">
        <f>'Ap B - Qtr Electric Master'!$N$15</f>
        <v>38.200000000000003</v>
      </c>
      <c r="J11" s="297">
        <f>'Ap B - Qtr Electric Master'!$S$15</f>
        <v>998.9</v>
      </c>
      <c r="K11" s="463">
        <f>'Ap B - Qtr Electric Master'!$Q$15</f>
        <v>0</v>
      </c>
      <c r="L11" s="27"/>
      <c r="M11" s="27"/>
    </row>
    <row r="12" spans="1:13">
      <c r="A12" s="291" t="s">
        <v>153</v>
      </c>
      <c r="B12" s="292" t="s">
        <v>43</v>
      </c>
      <c r="C12" s="291" t="s">
        <v>122</v>
      </c>
      <c r="D12" s="293" t="s">
        <v>106</v>
      </c>
      <c r="E12" s="294">
        <f>'Ap B - Qtr Electric Master'!$F$16</f>
        <v>257</v>
      </c>
      <c r="F12" s="535">
        <f>'Ap B - Qtr Electric Master'!$I$16</f>
        <v>3681.07</v>
      </c>
      <c r="G12" s="536">
        <f>SUM(' Ap C - Qtr Electric LMI'!$F$12:$G$12)</f>
        <v>52.398070000000004</v>
      </c>
      <c r="H12" s="536">
        <f>'Ap B - Qtr Electric Master'!$J$16</f>
        <v>352.17347000000001</v>
      </c>
      <c r="I12" s="297">
        <f>'Ap B - Qtr Electric Master'!$N$16</f>
        <v>129.30000000000001</v>
      </c>
      <c r="J12" s="297">
        <f>'Ap B - Qtr Electric Master'!$S$16</f>
        <v>1722</v>
      </c>
      <c r="K12" s="463">
        <f>'Ap B - Qtr Electric Master'!$Q$16</f>
        <v>7.7000000000000002E-3</v>
      </c>
      <c r="L12" s="27"/>
      <c r="M12" s="27"/>
    </row>
    <row r="13" spans="1:13">
      <c r="A13" s="291" t="s">
        <v>153</v>
      </c>
      <c r="B13" s="292" t="s">
        <v>43</v>
      </c>
      <c r="C13" s="291" t="s">
        <v>122</v>
      </c>
      <c r="D13" s="293" t="s">
        <v>108</v>
      </c>
      <c r="E13" s="294">
        <f>'Ap B - Qtr Electric Master'!$F$17</f>
        <v>107</v>
      </c>
      <c r="F13" s="535">
        <f>'Ap B - Qtr Electric Master'!$I$17</f>
        <v>4214.8360000000002</v>
      </c>
      <c r="G13" s="536">
        <f>SUM(' Ap C - Qtr Electric LMI'!$F$13:$G$13)</f>
        <v>63.89432</v>
      </c>
      <c r="H13" s="536">
        <f>'Ap B - Qtr Electric Master'!$J$17</f>
        <v>504.42917999999997</v>
      </c>
      <c r="I13" s="297">
        <f>'Ap B - Qtr Electric Master'!$N$17</f>
        <v>109.4</v>
      </c>
      <c r="J13" s="297">
        <f>'Ap B - Qtr Electric Master'!$S$17</f>
        <v>1363.4</v>
      </c>
      <c r="K13" s="463">
        <f>'Ap B - Qtr Electric Master'!$Q$17</f>
        <v>7.4000000000000003E-3</v>
      </c>
      <c r="L13" s="27"/>
      <c r="M13" s="27"/>
    </row>
    <row r="14" spans="1:13">
      <c r="A14" s="291" t="s">
        <v>153</v>
      </c>
      <c r="B14" s="292" t="s">
        <v>43</v>
      </c>
      <c r="C14" s="291" t="s">
        <v>123</v>
      </c>
      <c r="D14" s="293" t="s">
        <v>110</v>
      </c>
      <c r="E14" s="294">
        <f>'Ap B - Qtr Electric Master'!$F$18</f>
        <v>235719</v>
      </c>
      <c r="F14" s="535" t="str">
        <f>'Ap B - Qtr Electric Master'!$I$18</f>
        <v xml:space="preserve"> $-   </v>
      </c>
      <c r="G14" s="536">
        <f>SUM(' Ap C - Qtr Electric LMI'!$F$14:$G$14)</f>
        <v>0</v>
      </c>
      <c r="H14" s="536">
        <f>'Ap B - Qtr Electric Master'!$J$18</f>
        <v>1.4849300000000001</v>
      </c>
      <c r="I14" s="297">
        <f>'Ap B - Qtr Electric Master'!$N$18</f>
        <v>6279.7799974749996</v>
      </c>
      <c r="J14" s="297">
        <f>'Ap B - Qtr Electric Master'!$S$18</f>
        <v>6279.7799974749996</v>
      </c>
      <c r="K14" s="463">
        <f>'Ap B - Qtr Electric Master'!$Q$18</f>
        <v>2.9183744822580646</v>
      </c>
      <c r="L14" s="27"/>
      <c r="M14" s="27"/>
    </row>
    <row r="15" spans="1:13">
      <c r="A15" s="291" t="s">
        <v>153</v>
      </c>
      <c r="B15" s="292" t="s">
        <v>155</v>
      </c>
      <c r="C15" s="291" t="s">
        <v>112</v>
      </c>
      <c r="D15" s="293" t="s">
        <v>112</v>
      </c>
      <c r="E15" s="294">
        <f>'Ap B - Qtr Electric Master'!$F$22</f>
        <v>0</v>
      </c>
      <c r="F15" s="535">
        <f>'Ap B - Qtr Electric Master'!$I$22</f>
        <v>12369.521000000001</v>
      </c>
      <c r="G15" s="536"/>
      <c r="H15" s="536">
        <f>'Ap B - Qtr Electric Master'!$J$22</f>
        <v>959.27751000000012</v>
      </c>
      <c r="I15" s="297">
        <f>'Ap B - Qtr Electric Master'!$N$22</f>
        <v>0</v>
      </c>
      <c r="J15" s="297">
        <f>'Ap B - Qtr Electric Master'!$S$22</f>
        <v>0</v>
      </c>
      <c r="K15" s="463">
        <f>'Ap B - Qtr Electric Master'!$Q$22</f>
        <v>0</v>
      </c>
      <c r="L15" s="27"/>
      <c r="M15" s="27"/>
    </row>
    <row r="16" spans="1:13">
      <c r="A16" s="291" t="s">
        <v>153</v>
      </c>
      <c r="B16" s="292" t="s">
        <v>155</v>
      </c>
      <c r="C16" s="291" t="s">
        <v>113</v>
      </c>
      <c r="D16" s="293" t="s">
        <v>114</v>
      </c>
      <c r="E16" s="294">
        <f>'Ap B - Qtr Electric Master'!$F$23</f>
        <v>150</v>
      </c>
      <c r="F16" s="535">
        <f>'Ap B - Qtr Electric Master'!$I$23</f>
        <v>4062.402</v>
      </c>
      <c r="G16" s="536">
        <f>SUM(' Ap D - Qtr Electric Business'!$F$9:$G$9)</f>
        <v>1527.8589999999999</v>
      </c>
      <c r="H16" s="536">
        <f>'Ap B - Qtr Electric Master'!$J$23</f>
        <v>2373.5920100000003</v>
      </c>
      <c r="I16" s="297">
        <f>'Ap B - Qtr Electric Master'!$N$23</f>
        <v>7159</v>
      </c>
      <c r="J16" s="297">
        <f>'Ap B - Qtr Electric Master'!$S$23</f>
        <v>105361.1</v>
      </c>
      <c r="K16" s="463">
        <f>'Ap B - Qtr Electric Master'!$Q$23</f>
        <v>1.2202</v>
      </c>
      <c r="L16" s="27"/>
      <c r="M16" s="27"/>
    </row>
    <row r="17" spans="1:13">
      <c r="A17" s="291" t="s">
        <v>153</v>
      </c>
      <c r="B17" s="292" t="s">
        <v>155</v>
      </c>
      <c r="C17" s="291" t="s">
        <v>113</v>
      </c>
      <c r="D17" s="293" t="s">
        <v>115</v>
      </c>
      <c r="E17" s="294">
        <f>'Ap B - Qtr Electric Master'!$F$24</f>
        <v>0</v>
      </c>
      <c r="F17" s="535">
        <f>'Ap B - Qtr Electric Master'!$I$24</f>
        <v>279.64699999999999</v>
      </c>
      <c r="G17" s="536">
        <f>SUM(' Ap D - Qtr Electric Business'!$F$10:$G$10)</f>
        <v>0</v>
      </c>
      <c r="H17" s="536">
        <f>'Ap B - Qtr Electric Master'!$J$24</f>
        <v>272.70753999999999</v>
      </c>
      <c r="I17" s="297">
        <f>'Ap B - Qtr Electric Master'!$N$24</f>
        <v>0</v>
      </c>
      <c r="J17" s="297">
        <f>'Ap B - Qtr Electric Master'!$S$24</f>
        <v>0</v>
      </c>
      <c r="K17" s="463">
        <f>'Ap B - Qtr Electric Master'!$Q$24</f>
        <v>0</v>
      </c>
      <c r="L17" s="27"/>
      <c r="M17" s="27"/>
    </row>
    <row r="18" spans="1:13">
      <c r="A18" s="291" t="s">
        <v>153</v>
      </c>
      <c r="B18" s="292" t="s">
        <v>155</v>
      </c>
      <c r="C18" s="291" t="s">
        <v>113</v>
      </c>
      <c r="D18" s="293" t="s">
        <v>116</v>
      </c>
      <c r="E18" s="294">
        <f>'Ap B - Qtr Electric Master'!$F$25</f>
        <v>0</v>
      </c>
      <c r="F18" s="535">
        <f>'Ap B - Qtr Electric Master'!$I$25</f>
        <v>1146.1969999999999</v>
      </c>
      <c r="G18" s="536">
        <f>SUM(' Ap D - Qtr Electric Business'!$F$11:$G$11)</f>
        <v>0</v>
      </c>
      <c r="H18" s="536">
        <f>'Ap B - Qtr Electric Master'!$J$25</f>
        <v>400.32079999999996</v>
      </c>
      <c r="I18" s="297">
        <f>'Ap B - Qtr Electric Master'!$N$25</f>
        <v>0</v>
      </c>
      <c r="J18" s="297">
        <f>'Ap B - Qtr Electric Master'!$S$25</f>
        <v>0</v>
      </c>
      <c r="K18" s="463">
        <f>'Ap B - Qtr Electric Master'!$Q$25</f>
        <v>0</v>
      </c>
      <c r="L18" s="27"/>
      <c r="M18" s="27"/>
    </row>
    <row r="19" spans="1:13">
      <c r="A19" s="291" t="s">
        <v>153</v>
      </c>
      <c r="B19" s="292" t="s">
        <v>117</v>
      </c>
      <c r="C19" s="291" t="s">
        <v>117</v>
      </c>
      <c r="D19" s="293" t="s">
        <v>154</v>
      </c>
      <c r="E19" s="294">
        <f>'Ap B - Qtr Electric Master'!$F$28</f>
        <v>0</v>
      </c>
      <c r="F19" s="535"/>
      <c r="G19" s="536">
        <f>SUM(' Ap C - Qtr Electric LMI'!$F$17:$G$17)</f>
        <v>0</v>
      </c>
      <c r="H19" s="536"/>
      <c r="I19" s="297">
        <f>'Ap B - Qtr Electric Master'!$N$28</f>
        <v>0</v>
      </c>
      <c r="J19" s="297">
        <f>'Ap B - Qtr Electric Master'!$S$28</f>
        <v>0</v>
      </c>
      <c r="K19" s="463">
        <f>'Ap B - Qtr Electric Master'!$Q$28</f>
        <v>0</v>
      </c>
      <c r="L19" s="27"/>
      <c r="M19" s="27"/>
    </row>
    <row r="20" spans="1:13">
      <c r="A20" s="291" t="s">
        <v>153</v>
      </c>
      <c r="B20" s="292" t="s">
        <v>117</v>
      </c>
      <c r="C20" s="291" t="s">
        <v>117</v>
      </c>
      <c r="D20" s="293" t="s">
        <v>112</v>
      </c>
      <c r="E20" s="294">
        <f>'Ap B - Qtr Electric Master'!$F$29</f>
        <v>363</v>
      </c>
      <c r="F20" s="535"/>
      <c r="G20" s="536">
        <f>SUM(' Ap C - Qtr Electric LMI'!$F$18:$G$18)</f>
        <v>63.774880000000003</v>
      </c>
      <c r="H20" s="536"/>
      <c r="I20" s="297">
        <f>'Ap B - Qtr Electric Master'!$N$29</f>
        <v>269.39999999999998</v>
      </c>
      <c r="J20" s="297">
        <f>'Ap B - Qtr Electric Master'!$S$29</f>
        <v>2947.4</v>
      </c>
      <c r="K20" s="463">
        <f>'Ap B - Qtr Electric Master'!$Q$29</f>
        <v>1.2E-2</v>
      </c>
      <c r="L20" s="27"/>
      <c r="M20" s="27"/>
    </row>
    <row r="21" spans="1:13">
      <c r="A21" s="291" t="s">
        <v>153</v>
      </c>
      <c r="B21" s="292" t="s">
        <v>117</v>
      </c>
      <c r="C21" s="291" t="s">
        <v>117</v>
      </c>
      <c r="D21" s="293" t="s">
        <v>114</v>
      </c>
      <c r="E21" s="294">
        <f>'Ap B - Qtr Electric Master'!$F$30</f>
        <v>0</v>
      </c>
      <c r="F21" s="535"/>
      <c r="G21" s="536">
        <f>SUM(' Ap D - Qtr Electric Business'!$F$14:$G$14)</f>
        <v>0</v>
      </c>
      <c r="H21" s="536"/>
      <c r="I21" s="297">
        <f>'Ap B - Qtr Electric Master'!$N$30</f>
        <v>0</v>
      </c>
      <c r="J21" s="297">
        <f>'Ap B - Qtr Electric Master'!$S$30</f>
        <v>0</v>
      </c>
      <c r="K21" s="463">
        <f>'Ap B - Qtr Electric Master'!$Q$30</f>
        <v>0</v>
      </c>
      <c r="L21" s="27"/>
      <c r="M21" s="27"/>
    </row>
    <row r="22" spans="1:13">
      <c r="A22" s="291" t="s">
        <v>153</v>
      </c>
      <c r="B22" s="292" t="s">
        <v>117</v>
      </c>
      <c r="C22" s="291" t="s">
        <v>117</v>
      </c>
      <c r="D22" s="293" t="s">
        <v>116</v>
      </c>
      <c r="E22" s="294">
        <f>'Ap B - Qtr Electric Master'!$F$31</f>
        <v>0</v>
      </c>
      <c r="F22" s="535"/>
      <c r="G22" s="536">
        <f>SUM(' Ap D - Qtr Electric Business'!$F$15:$G$15)</f>
        <v>0</v>
      </c>
      <c r="H22" s="536"/>
      <c r="I22" s="297">
        <f>'Ap B - Qtr Electric Master'!$N$31</f>
        <v>0</v>
      </c>
      <c r="J22" s="297">
        <f>'Ap B - Qtr Electric Master'!$S$31</f>
        <v>0</v>
      </c>
      <c r="K22" s="463">
        <f>'Ap B - Qtr Electric Master'!$Q$31</f>
        <v>0</v>
      </c>
      <c r="L22" s="27"/>
      <c r="M22" s="27"/>
    </row>
    <row r="23" spans="1:13">
      <c r="A23" s="291" t="s">
        <v>153</v>
      </c>
      <c r="B23" s="292" t="s">
        <v>117</v>
      </c>
      <c r="C23" s="291" t="s">
        <v>117</v>
      </c>
      <c r="D23" s="293"/>
      <c r="E23" s="294"/>
      <c r="F23" s="535">
        <f>'Ap B - Qtr Electric Master'!$I$32</f>
        <v>1364.884</v>
      </c>
      <c r="G23" s="536"/>
      <c r="H23" s="536">
        <f>'Ap B - Qtr Electric Master'!$J$32</f>
        <v>312.31704999999999</v>
      </c>
      <c r="I23" s="297"/>
      <c r="J23" s="297"/>
      <c r="K23" s="297"/>
      <c r="L23" s="27"/>
      <c r="M23" s="27"/>
    </row>
    <row r="24" spans="1:13">
      <c r="A24" s="291" t="s">
        <v>153</v>
      </c>
      <c r="B24" s="291" t="s">
        <v>57</v>
      </c>
      <c r="C24" s="291" t="s">
        <v>57</v>
      </c>
      <c r="D24" s="291" t="s">
        <v>57</v>
      </c>
      <c r="E24" s="294">
        <f>'Tables 2-6'!$C$22</f>
        <v>275</v>
      </c>
      <c r="F24" s="535">
        <f>'Tables 2-6'!$D$33</f>
        <v>2448</v>
      </c>
      <c r="G24" s="536"/>
      <c r="H24" s="536">
        <f>'Tables 2-6'!$C$33</f>
        <v>1031</v>
      </c>
      <c r="I24" s="297">
        <f>'Tables 2-6'!$C$43</f>
        <v>215</v>
      </c>
      <c r="J24" s="297"/>
      <c r="K24" s="297"/>
      <c r="L24" s="27"/>
      <c r="M24" s="27"/>
    </row>
    <row r="25" spans="1:13">
      <c r="A25" s="291" t="s">
        <v>153</v>
      </c>
      <c r="B25" s="291" t="s">
        <v>156</v>
      </c>
      <c r="C25" s="291" t="s">
        <v>156</v>
      </c>
      <c r="D25" s="293"/>
      <c r="E25" s="294"/>
      <c r="F25" s="535">
        <f>'Ap B - Qtr Electric Master'!I38</f>
        <v>950</v>
      </c>
      <c r="G25" s="536"/>
      <c r="H25" s="536">
        <f>'Ap B - Qtr Electric Master'!J38</f>
        <v>20.440510000000003</v>
      </c>
      <c r="I25" s="297"/>
      <c r="J25" s="297"/>
      <c r="K25" s="297"/>
      <c r="L25" s="27"/>
      <c r="M25" s="27"/>
    </row>
    <row r="26" spans="1:13">
      <c r="A26" s="291"/>
      <c r="B26" s="292"/>
      <c r="C26" s="291"/>
      <c r="D26" s="293"/>
      <c r="E26" s="294"/>
      <c r="F26" s="295"/>
      <c r="G26" s="296"/>
      <c r="H26" s="296"/>
      <c r="I26" s="297"/>
      <c r="J26" s="297"/>
      <c r="K26" s="297"/>
      <c r="L26" s="27"/>
      <c r="M26" s="27"/>
    </row>
    <row r="27" spans="1:13">
      <c r="A27" s="291"/>
      <c r="B27" s="292"/>
      <c r="C27" s="291"/>
      <c r="D27" s="293"/>
      <c r="E27" s="294"/>
      <c r="F27" s="295"/>
      <c r="G27" s="296"/>
      <c r="H27" s="296"/>
      <c r="I27" s="297"/>
      <c r="J27" s="297"/>
      <c r="K27" s="297"/>
      <c r="L27" s="27"/>
      <c r="M27" s="27"/>
    </row>
    <row r="28" spans="1:13">
      <c r="A28" s="291"/>
      <c r="B28" s="292"/>
      <c r="C28" s="291"/>
      <c r="D28" s="293"/>
      <c r="E28" s="294"/>
      <c r="F28" s="295"/>
      <c r="G28" s="296"/>
      <c r="H28" s="296"/>
      <c r="I28" s="297"/>
      <c r="J28" s="297"/>
      <c r="K28" s="297"/>
      <c r="L28" s="27"/>
      <c r="M28" s="27"/>
    </row>
    <row r="29" spans="1:13">
      <c r="A29" s="291"/>
      <c r="B29" s="292"/>
      <c r="C29" s="291"/>
      <c r="D29" s="293"/>
      <c r="E29" s="294"/>
      <c r="F29" s="295"/>
      <c r="G29" s="296"/>
      <c r="H29" s="296"/>
      <c r="I29" s="297"/>
      <c r="J29" s="297"/>
      <c r="K29" s="297"/>
      <c r="L29" s="27"/>
      <c r="M29" s="27"/>
    </row>
    <row r="30" spans="1:13">
      <c r="A30" s="291"/>
      <c r="B30" s="292"/>
      <c r="C30" s="291"/>
      <c r="D30" s="293"/>
      <c r="E30" s="294"/>
      <c r="F30" s="295"/>
      <c r="G30" s="296"/>
      <c r="H30" s="296"/>
      <c r="I30" s="297"/>
      <c r="J30" s="297"/>
      <c r="K30" s="297"/>
      <c r="L30" s="27"/>
      <c r="M30" s="27"/>
    </row>
    <row r="31" spans="1:13">
      <c r="A31" s="291"/>
      <c r="B31" s="292"/>
      <c r="C31" s="291"/>
      <c r="D31" s="293"/>
      <c r="E31" s="294"/>
      <c r="F31" s="295"/>
      <c r="G31" s="296"/>
      <c r="H31" s="296"/>
      <c r="I31" s="297"/>
      <c r="J31" s="297"/>
      <c r="K31" s="297"/>
      <c r="L31" s="27"/>
      <c r="M31" s="27"/>
    </row>
  </sheetData>
  <mergeCells count="3">
    <mergeCell ref="A2:C2"/>
    <mergeCell ref="F2:H2"/>
    <mergeCell ref="I2:M2"/>
  </mergeCells>
  <conditionalFormatting sqref="G4:G31">
    <cfRule type="expression" dxfId="1" priority="2">
      <formula>IF(#REF!&gt;1,TRUE,FALSE)</formula>
    </cfRule>
  </conditionalFormatting>
  <conditionalFormatting sqref="H4:H31">
    <cfRule type="expression" dxfId="0" priority="1">
      <formula>IF(#REF!&gt;1,TRUE,FALSE)</formula>
    </cfRule>
  </conditionalFormatting>
  <dataValidations count="5">
    <dataValidation type="list" allowBlank="1" showInputMessage="1" sqref="D4:D23 D25:D31">
      <formula1>#REF!</formula1>
    </dataValidation>
    <dataValidation type="list" allowBlank="1" showInputMessage="1" sqref="D24 C4:C31 B24:B25">
      <formula1>#REF!</formula1>
    </dataValidation>
    <dataValidation type="list" allowBlank="1" showInputMessage="1" showErrorMessage="1" sqref="B1">
      <formula1>#REF!</formula1>
    </dataValidation>
    <dataValidation type="list" allowBlank="1" showInputMessage="1" showErrorMessage="1" sqref="B4:B23 B26:B31">
      <formula1>#REF!</formula1>
    </dataValidation>
    <dataValidation type="list" allowBlank="1" showInputMessage="1" showErrorMessage="1" sqref="A4:A31">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4659260841701"/>
    <pageSetUpPr fitToPage="1"/>
  </sheetPr>
  <dimension ref="A1:AI72"/>
  <sheetViews>
    <sheetView zoomScale="80" zoomScaleNormal="80" zoomScaleSheetLayoutView="100" workbookViewId="0"/>
  </sheetViews>
  <sheetFormatPr defaultColWidth="9.28515625" defaultRowHeight="15"/>
  <cols>
    <col min="1" max="1" width="4.28515625" customWidth="1"/>
    <col min="2" max="2" width="42.7109375" customWidth="1"/>
    <col min="3" max="3" width="40.85546875" customWidth="1"/>
    <col min="4" max="8" width="13.5703125" customWidth="1"/>
    <col min="9" max="9" width="24" customWidth="1"/>
    <col min="10" max="13" width="13.5703125" customWidth="1"/>
    <col min="14" max="16" width="14.5703125" style="16" customWidth="1"/>
    <col min="17" max="17" width="14.5703125" style="17" customWidth="1"/>
    <col min="18" max="18" width="14.5703125" customWidth="1"/>
    <col min="19" max="20" width="15.7109375" style="16" customWidth="1"/>
    <col min="21" max="21" width="31.28515625" bestFit="1" customWidth="1"/>
    <col min="23" max="23" width="33.140625" bestFit="1" customWidth="1"/>
    <col min="25" max="25" width="9.28515625" customWidth="1"/>
  </cols>
  <sheetData>
    <row r="1" spans="1:24" ht="23.25">
      <c r="A1" s="15" t="s">
        <v>157</v>
      </c>
      <c r="S1" s="52"/>
      <c r="T1" s="52"/>
    </row>
    <row r="2" spans="1:24" ht="18.75">
      <c r="D2" s="19"/>
      <c r="E2" s="19"/>
      <c r="F2" s="19"/>
      <c r="G2" s="19"/>
      <c r="H2" s="19"/>
      <c r="S2" s="52"/>
      <c r="T2" s="52"/>
    </row>
    <row r="3" spans="1:24" ht="19.5" thickBot="1">
      <c r="A3" s="19"/>
      <c r="B3" s="19" t="s">
        <v>158</v>
      </c>
      <c r="C3" s="19"/>
      <c r="I3" s="19"/>
      <c r="J3" s="19"/>
      <c r="K3" s="19"/>
      <c r="L3" s="19"/>
      <c r="M3" s="19"/>
      <c r="Q3" s="23"/>
      <c r="S3" s="52"/>
      <c r="T3" s="52"/>
    </row>
    <row r="4" spans="1:24" ht="15.75" thickBot="1">
      <c r="A4" t="s">
        <v>159</v>
      </c>
      <c r="B4" s="43"/>
      <c r="C4" s="43"/>
      <c r="D4" s="788" t="s">
        <v>160</v>
      </c>
      <c r="E4" s="788"/>
      <c r="F4" s="788"/>
      <c r="G4" s="789"/>
      <c r="H4" s="790" t="s">
        <v>161</v>
      </c>
      <c r="I4" s="791"/>
      <c r="J4" s="791"/>
      <c r="K4" s="791"/>
      <c r="L4" s="787" t="s">
        <v>162</v>
      </c>
      <c r="M4" s="787"/>
      <c r="N4" s="787"/>
      <c r="O4" s="787"/>
      <c r="P4" s="787"/>
      <c r="Q4" s="787"/>
      <c r="R4" s="787"/>
      <c r="S4" s="787"/>
      <c r="T4" s="60"/>
    </row>
    <row r="5" spans="1:24">
      <c r="B5" s="46"/>
      <c r="C5" s="46"/>
      <c r="D5" s="44" t="s">
        <v>163</v>
      </c>
      <c r="E5" s="28" t="s">
        <v>164</v>
      </c>
      <c r="F5" s="28" t="s">
        <v>165</v>
      </c>
      <c r="G5" s="28" t="s">
        <v>166</v>
      </c>
      <c r="H5" s="39" t="s">
        <v>167</v>
      </c>
      <c r="I5" s="40" t="s">
        <v>168</v>
      </c>
      <c r="J5" s="40" t="s">
        <v>169</v>
      </c>
      <c r="K5" s="436" t="s">
        <v>170</v>
      </c>
      <c r="L5" s="20" t="s">
        <v>171</v>
      </c>
      <c r="M5" s="36" t="s">
        <v>172</v>
      </c>
      <c r="N5" s="20" t="s">
        <v>173</v>
      </c>
      <c r="O5" s="36" t="s">
        <v>174</v>
      </c>
      <c r="P5" s="36" t="s">
        <v>175</v>
      </c>
      <c r="Q5" s="28" t="s">
        <v>176</v>
      </c>
      <c r="R5" s="62" t="s">
        <v>177</v>
      </c>
      <c r="S5" s="442" t="s">
        <v>178</v>
      </c>
      <c r="T5" s="52"/>
      <c r="U5" s="228"/>
      <c r="V5" s="228"/>
      <c r="W5" s="228"/>
      <c r="X5" s="228"/>
    </row>
    <row r="6" spans="1:24" ht="55.5" customHeight="1" thickBot="1">
      <c r="B6" s="45"/>
      <c r="C6" s="45"/>
      <c r="D6" s="47" t="s">
        <v>15</v>
      </c>
      <c r="E6" s="48" t="s">
        <v>179</v>
      </c>
      <c r="F6" s="48" t="s">
        <v>144</v>
      </c>
      <c r="G6" s="48" t="s">
        <v>180</v>
      </c>
      <c r="H6" s="41" t="s">
        <v>181</v>
      </c>
      <c r="I6" s="42" t="s">
        <v>182</v>
      </c>
      <c r="J6" s="42" t="s">
        <v>183</v>
      </c>
      <c r="K6" s="437" t="s">
        <v>184</v>
      </c>
      <c r="L6" s="443" t="s">
        <v>185</v>
      </c>
      <c r="M6" s="37" t="s">
        <v>186</v>
      </c>
      <c r="N6" s="26" t="s">
        <v>187</v>
      </c>
      <c r="O6" s="38" t="s">
        <v>188</v>
      </c>
      <c r="P6" s="38" t="s">
        <v>189</v>
      </c>
      <c r="Q6" s="21" t="s">
        <v>190</v>
      </c>
      <c r="R6" s="38" t="s">
        <v>191</v>
      </c>
      <c r="S6" s="444" t="s">
        <v>192</v>
      </c>
      <c r="T6" s="52"/>
    </row>
    <row r="7" spans="1:24" ht="18" thickBot="1">
      <c r="B7" s="67" t="s">
        <v>193</v>
      </c>
      <c r="C7" s="179" t="s">
        <v>194</v>
      </c>
      <c r="D7" s="540"/>
      <c r="E7" s="107"/>
      <c r="F7" s="230"/>
      <c r="G7" s="127"/>
      <c r="H7" s="106"/>
      <c r="I7" s="107"/>
      <c r="J7" s="108"/>
      <c r="K7" s="438"/>
      <c r="L7" s="155"/>
      <c r="M7" s="107"/>
      <c r="N7" s="156"/>
      <c r="O7" s="128"/>
      <c r="P7" s="156"/>
      <c r="Q7" s="156"/>
      <c r="R7" s="229"/>
      <c r="S7" s="445"/>
      <c r="T7" s="55"/>
    </row>
    <row r="8" spans="1:24">
      <c r="B8" s="797" t="s">
        <v>195</v>
      </c>
      <c r="C8" s="101" t="s">
        <v>96</v>
      </c>
      <c r="D8" s="300">
        <v>289</v>
      </c>
      <c r="E8" s="301" t="s">
        <v>64</v>
      </c>
      <c r="F8" s="301">
        <v>691</v>
      </c>
      <c r="G8" s="302" t="s">
        <v>64</v>
      </c>
      <c r="H8" s="303">
        <v>266.25</v>
      </c>
      <c r="I8" s="304" t="s">
        <v>196</v>
      </c>
      <c r="J8" s="305">
        <v>670.3175</v>
      </c>
      <c r="K8" s="306" t="s">
        <v>64</v>
      </c>
      <c r="L8" s="300">
        <v>131.51268700000006</v>
      </c>
      <c r="M8" s="307" t="s">
        <v>196</v>
      </c>
      <c r="N8" s="301">
        <v>335.98567700000001</v>
      </c>
      <c r="O8" s="308" t="s">
        <v>196</v>
      </c>
      <c r="P8" s="309">
        <f t="shared" ref="P8:P13" si="0">L8*1.115</f>
        <v>146.63664600500007</v>
      </c>
      <c r="Q8" s="310">
        <v>0.13936948699999999</v>
      </c>
      <c r="R8" s="432">
        <v>2052.4370305999937</v>
      </c>
      <c r="S8" s="418">
        <v>5327.4370305999937</v>
      </c>
      <c r="T8" s="52"/>
      <c r="U8" s="228"/>
      <c r="V8" s="23"/>
      <c r="W8" s="228"/>
      <c r="X8" s="23"/>
    </row>
    <row r="9" spans="1:24">
      <c r="B9" s="798"/>
      <c r="C9" s="227" t="s">
        <v>98</v>
      </c>
      <c r="D9" s="311">
        <v>805</v>
      </c>
      <c r="E9" s="202" t="s">
        <v>64</v>
      </c>
      <c r="F9" s="202">
        <v>1842</v>
      </c>
      <c r="G9" s="312" t="s">
        <v>64</v>
      </c>
      <c r="H9" s="313">
        <v>729.31</v>
      </c>
      <c r="I9" s="314" t="s">
        <v>196</v>
      </c>
      <c r="J9" s="315">
        <v>913.45319999999992</v>
      </c>
      <c r="K9" s="316" t="s">
        <v>64</v>
      </c>
      <c r="L9" s="311">
        <v>111.61966499999998</v>
      </c>
      <c r="M9" s="317" t="s">
        <v>196</v>
      </c>
      <c r="N9" s="202">
        <v>236.539604</v>
      </c>
      <c r="O9" s="318" t="s">
        <v>196</v>
      </c>
      <c r="P9" s="319">
        <f t="shared" si="0"/>
        <v>124.45592647499998</v>
      </c>
      <c r="Q9" s="320">
        <v>2.8986367999999998E-2</v>
      </c>
      <c r="R9" s="433">
        <v>1212.9202212000205</v>
      </c>
      <c r="S9" s="419">
        <v>2614.9202212000205</v>
      </c>
      <c r="T9" s="52"/>
    </row>
    <row r="10" spans="1:24">
      <c r="B10" s="798"/>
      <c r="C10" s="227" t="s">
        <v>99</v>
      </c>
      <c r="D10" s="311">
        <v>557</v>
      </c>
      <c r="E10" s="202" t="s">
        <v>64</v>
      </c>
      <c r="F10" s="202">
        <v>1109</v>
      </c>
      <c r="G10" s="312" t="s">
        <v>64</v>
      </c>
      <c r="H10" s="321">
        <v>182.29000000000002</v>
      </c>
      <c r="I10" s="322" t="s">
        <v>196</v>
      </c>
      <c r="J10" s="323">
        <v>385.92363</v>
      </c>
      <c r="K10" s="324" t="s">
        <v>64</v>
      </c>
      <c r="L10" s="311">
        <v>401.221</v>
      </c>
      <c r="M10" s="317" t="s">
        <v>196</v>
      </c>
      <c r="N10" s="202">
        <v>1015.266</v>
      </c>
      <c r="O10" s="318" t="s">
        <v>196</v>
      </c>
      <c r="P10" s="319">
        <f t="shared" si="0"/>
        <v>447.36141500000002</v>
      </c>
      <c r="Q10" s="320">
        <v>0.163768</v>
      </c>
      <c r="R10" s="433">
        <v>1954.616</v>
      </c>
      <c r="S10" s="419">
        <v>4949.616</v>
      </c>
      <c r="T10" s="52"/>
    </row>
    <row r="11" spans="1:24">
      <c r="B11" s="798"/>
      <c r="C11" s="227" t="s">
        <v>100</v>
      </c>
      <c r="D11" s="311">
        <v>952</v>
      </c>
      <c r="E11" s="202" t="s">
        <v>64</v>
      </c>
      <c r="F11" s="202">
        <v>1466</v>
      </c>
      <c r="G11" s="312" t="s">
        <v>64</v>
      </c>
      <c r="H11" s="321">
        <v>109.70479000000003</v>
      </c>
      <c r="I11" s="322" t="s">
        <v>196</v>
      </c>
      <c r="J11" s="323">
        <v>199.90569000000005</v>
      </c>
      <c r="K11" s="324" t="s">
        <v>64</v>
      </c>
      <c r="L11" s="311">
        <v>130</v>
      </c>
      <c r="M11" s="317" t="s">
        <v>64</v>
      </c>
      <c r="N11" s="202">
        <v>204</v>
      </c>
      <c r="O11" s="318" t="s">
        <v>196</v>
      </c>
      <c r="P11" s="319">
        <v>144.94999999999999</v>
      </c>
      <c r="Q11" s="320">
        <v>4.7E-2</v>
      </c>
      <c r="R11" s="433">
        <v>1119</v>
      </c>
      <c r="S11" s="419">
        <v>1815</v>
      </c>
      <c r="T11" s="52"/>
      <c r="U11" s="228"/>
      <c r="V11" s="228"/>
    </row>
    <row r="12" spans="1:24">
      <c r="B12" s="798"/>
      <c r="C12" s="104" t="s">
        <v>101</v>
      </c>
      <c r="D12" s="311">
        <v>13267</v>
      </c>
      <c r="E12" s="185" t="s">
        <v>64</v>
      </c>
      <c r="F12" s="202">
        <v>20159</v>
      </c>
      <c r="G12" s="312" t="s">
        <v>64</v>
      </c>
      <c r="H12" s="321">
        <v>0</v>
      </c>
      <c r="I12" s="322" t="s">
        <v>196</v>
      </c>
      <c r="J12" s="323">
        <v>0</v>
      </c>
      <c r="K12" s="324" t="s">
        <v>64</v>
      </c>
      <c r="L12" s="311">
        <v>2080.9557519199998</v>
      </c>
      <c r="M12" s="317" t="s">
        <v>196</v>
      </c>
      <c r="N12" s="202">
        <v>3944.8919139999998</v>
      </c>
      <c r="O12" s="318" t="s">
        <v>196</v>
      </c>
      <c r="P12" s="317">
        <f t="shared" si="0"/>
        <v>2320.2656633907995</v>
      </c>
      <c r="Q12" s="320">
        <v>0.34331</v>
      </c>
      <c r="R12" s="433">
        <v>28194.849692999996</v>
      </c>
      <c r="S12" s="419">
        <v>51194.849692999996</v>
      </c>
      <c r="T12" s="52"/>
    </row>
    <row r="13" spans="1:24" ht="15.75" thickBot="1">
      <c r="B13" s="798"/>
      <c r="C13" s="539" t="s">
        <v>102</v>
      </c>
      <c r="D13" s="325">
        <v>38675</v>
      </c>
      <c r="E13" s="186" t="s">
        <v>64</v>
      </c>
      <c r="F13" s="326">
        <v>81239</v>
      </c>
      <c r="G13" s="327" t="s">
        <v>64</v>
      </c>
      <c r="H13" s="328">
        <v>261.09842000000003</v>
      </c>
      <c r="I13" s="329" t="s">
        <v>196</v>
      </c>
      <c r="J13" s="330">
        <v>455.91483000000005</v>
      </c>
      <c r="K13" s="331" t="s">
        <v>64</v>
      </c>
      <c r="L13" s="332">
        <v>5702.8938599999528</v>
      </c>
      <c r="M13" s="333" t="s">
        <v>196</v>
      </c>
      <c r="N13" s="334">
        <v>12066.70966</v>
      </c>
      <c r="O13" s="335" t="s">
        <v>196</v>
      </c>
      <c r="P13" s="336">
        <f t="shared" si="0"/>
        <v>6358.7266538999475</v>
      </c>
      <c r="Q13" s="337">
        <v>0.90447843500000003</v>
      </c>
      <c r="R13" s="434">
        <v>85543.644800000009</v>
      </c>
      <c r="S13" s="420">
        <v>181000.64480000001</v>
      </c>
      <c r="T13" s="52"/>
    </row>
    <row r="14" spans="1:24" ht="15.75" thickBot="1">
      <c r="B14" s="103"/>
      <c r="C14" s="193" t="s">
        <v>197</v>
      </c>
      <c r="D14" s="338">
        <f>SUM(D8:D13)</f>
        <v>54545</v>
      </c>
      <c r="E14" s="339">
        <v>81204</v>
      </c>
      <c r="F14" s="339">
        <f>SUM(F8:F13)</f>
        <v>106506</v>
      </c>
      <c r="G14" s="340">
        <f t="shared" ref="G14" si="1">F14/E14</f>
        <v>1.3115856361755578</v>
      </c>
      <c r="H14" s="341">
        <f>SUM(H8:H13)</f>
        <v>1548.6532099999999</v>
      </c>
      <c r="I14" s="342">
        <v>5012.5690000000004</v>
      </c>
      <c r="J14" s="342">
        <f>SUM(J8:J13)</f>
        <v>2625.51485</v>
      </c>
      <c r="K14" s="343">
        <f>J14/I14</f>
        <v>0.52378627605924222</v>
      </c>
      <c r="L14" s="344">
        <f>SUM(L8:L13)</f>
        <v>8558.2029639199536</v>
      </c>
      <c r="M14" s="345">
        <v>11595.373</v>
      </c>
      <c r="N14" s="346">
        <f>SUM(N8:N13)</f>
        <v>17803.392854999998</v>
      </c>
      <c r="O14" s="347">
        <f>N14/M14</f>
        <v>1.5353876804997992</v>
      </c>
      <c r="P14" s="346">
        <f>L14*1.115</f>
        <v>9542.3963047707475</v>
      </c>
      <c r="Q14" s="348">
        <f>SUM(Q8:Q13)</f>
        <v>1.6269122899999999</v>
      </c>
      <c r="R14" s="435">
        <f>SUM(R8:R13)</f>
        <v>120077.46774480003</v>
      </c>
      <c r="S14" s="435">
        <f>SUM(S8:S13)</f>
        <v>246902.46774480003</v>
      </c>
      <c r="T14" s="52"/>
      <c r="U14" s="228"/>
      <c r="V14" s="23"/>
    </row>
    <row r="15" spans="1:24">
      <c r="B15" s="797" t="s">
        <v>122</v>
      </c>
      <c r="C15" s="65" t="s">
        <v>198</v>
      </c>
      <c r="D15" s="157">
        <v>27</v>
      </c>
      <c r="E15" s="158">
        <v>281</v>
      </c>
      <c r="F15" s="158">
        <v>42</v>
      </c>
      <c r="G15" s="159">
        <f>F15/E15</f>
        <v>0.1494661921708185</v>
      </c>
      <c r="H15" s="256">
        <v>273.38220999999999</v>
      </c>
      <c r="I15" s="250">
        <v>2943.2649999999999</v>
      </c>
      <c r="J15" s="250">
        <v>603.37778000000003</v>
      </c>
      <c r="K15" s="253">
        <f>J15/I15</f>
        <v>0.20500287266012407</v>
      </c>
      <c r="L15" s="349">
        <v>17.3</v>
      </c>
      <c r="M15" s="350">
        <v>626.90599999999995</v>
      </c>
      <c r="N15" s="180">
        <v>38.200000000000003</v>
      </c>
      <c r="O15" s="129">
        <f>N15/M15</f>
        <v>6.0934175139494604E-2</v>
      </c>
      <c r="P15" s="180">
        <f>L15*1.115</f>
        <v>19.2895</v>
      </c>
      <c r="Q15" s="231">
        <v>0</v>
      </c>
      <c r="R15" s="180">
        <v>505.1</v>
      </c>
      <c r="S15" s="421">
        <v>998.9</v>
      </c>
      <c r="T15" s="52"/>
    </row>
    <row r="16" spans="1:24" ht="17.25">
      <c r="B16" s="798"/>
      <c r="C16" s="209" t="s">
        <v>199</v>
      </c>
      <c r="D16" s="351">
        <v>257</v>
      </c>
      <c r="E16" s="352">
        <v>6500</v>
      </c>
      <c r="F16" s="352">
        <v>257</v>
      </c>
      <c r="G16" s="353">
        <f>F16/E16</f>
        <v>3.9538461538461536E-2</v>
      </c>
      <c r="H16" s="354">
        <v>-46.329659999999997</v>
      </c>
      <c r="I16" s="355">
        <v>3681.07</v>
      </c>
      <c r="J16" s="355">
        <v>352.17347000000001</v>
      </c>
      <c r="K16" s="254">
        <f>J16/I16</f>
        <v>9.5671494972929066E-2</v>
      </c>
      <c r="L16" s="208">
        <v>129.30000000000001</v>
      </c>
      <c r="M16" s="161">
        <v>6835.1059999999998</v>
      </c>
      <c r="N16" s="161">
        <v>129.30000000000001</v>
      </c>
      <c r="O16" s="255">
        <f>N16/M16</f>
        <v>1.8917043861499738E-2</v>
      </c>
      <c r="P16" s="207">
        <f>L16*1.115</f>
        <v>144.1695</v>
      </c>
      <c r="Q16" s="232">
        <v>7.7000000000000002E-3</v>
      </c>
      <c r="R16" s="181">
        <v>1722</v>
      </c>
      <c r="S16" s="422">
        <v>1722</v>
      </c>
      <c r="T16" s="52"/>
    </row>
    <row r="17" spans="2:35" ht="15.75" thickBot="1">
      <c r="B17" s="798"/>
      <c r="C17" s="64" t="s">
        <v>108</v>
      </c>
      <c r="D17" s="356">
        <v>107</v>
      </c>
      <c r="E17" s="357">
        <v>450</v>
      </c>
      <c r="F17" s="357">
        <v>107</v>
      </c>
      <c r="G17" s="358">
        <f>F17/E17</f>
        <v>0.23777777777777778</v>
      </c>
      <c r="H17" s="359">
        <v>250.47893999999999</v>
      </c>
      <c r="I17" s="360">
        <v>4214.8360000000002</v>
      </c>
      <c r="J17" s="360">
        <v>504.42917999999997</v>
      </c>
      <c r="K17" s="361">
        <f>J17/I17</f>
        <v>0.11967943236700074</v>
      </c>
      <c r="L17" s="362">
        <v>109.4</v>
      </c>
      <c r="M17" s="363">
        <v>824.19899999999996</v>
      </c>
      <c r="N17" s="189">
        <v>109.4</v>
      </c>
      <c r="O17" s="171">
        <f>N17/M17</f>
        <v>0.13273493416031809</v>
      </c>
      <c r="P17" s="363">
        <f>L17*1.115</f>
        <v>121.98100000000001</v>
      </c>
      <c r="Q17" s="234">
        <v>7.4000000000000003E-3</v>
      </c>
      <c r="R17" s="189">
        <v>1363.4</v>
      </c>
      <c r="S17" s="423">
        <v>1363.4</v>
      </c>
      <c r="T17" s="52"/>
    </row>
    <row r="18" spans="2:35" ht="18" thickBot="1">
      <c r="B18" s="51" t="s">
        <v>123</v>
      </c>
      <c r="C18" s="210" t="s">
        <v>200</v>
      </c>
      <c r="D18" s="364">
        <v>235719</v>
      </c>
      <c r="E18" s="365" t="s">
        <v>201</v>
      </c>
      <c r="F18" s="365">
        <v>235719</v>
      </c>
      <c r="G18" s="366" t="s">
        <v>64</v>
      </c>
      <c r="H18" s="367">
        <v>0.67692000000000008</v>
      </c>
      <c r="I18" s="368" t="s">
        <v>202</v>
      </c>
      <c r="J18" s="368">
        <v>1.4849300000000001</v>
      </c>
      <c r="K18" s="369" t="s">
        <v>64</v>
      </c>
      <c r="L18" s="370">
        <v>3401.9954811920002</v>
      </c>
      <c r="M18" s="211" t="s">
        <v>201</v>
      </c>
      <c r="N18" s="187">
        <v>6279.7799974749996</v>
      </c>
      <c r="O18" s="131" t="s">
        <v>64</v>
      </c>
      <c r="P18" s="211">
        <f t="shared" ref="P18" si="2">L18*1.115</f>
        <v>3793.2249615290802</v>
      </c>
      <c r="Q18" s="371">
        <v>2.9183744822580646</v>
      </c>
      <c r="R18" s="187">
        <v>3401.9954811920002</v>
      </c>
      <c r="S18" s="424">
        <v>6279.7799974749996</v>
      </c>
      <c r="T18" s="52"/>
    </row>
    <row r="19" spans="2:35" ht="15.75" thickBot="1">
      <c r="B19" s="68" t="s">
        <v>203</v>
      </c>
      <c r="C19" s="72"/>
      <c r="D19" s="140">
        <f>SUM(D14:D18)</f>
        <v>290655</v>
      </c>
      <c r="E19" s="141">
        <f>SUM(E14:E18)</f>
        <v>88435</v>
      </c>
      <c r="F19" s="141">
        <f>SUM(F14:F18)</f>
        <v>342631</v>
      </c>
      <c r="G19" s="120">
        <f t="shared" ref="G19" si="3">F19/E19</f>
        <v>3.8743823146944085</v>
      </c>
      <c r="H19" s="190">
        <f>SUM(H14:H18)</f>
        <v>2026.8616199999999</v>
      </c>
      <c r="I19" s="191">
        <f>SUM(I14:I18)</f>
        <v>15851.740000000002</v>
      </c>
      <c r="J19" s="191">
        <f>SUM(J14:J18)</f>
        <v>4086.9802100000006</v>
      </c>
      <c r="K19" s="372">
        <f t="shared" ref="K19" si="4">J19/I19</f>
        <v>0.25782533715541639</v>
      </c>
      <c r="L19" s="140">
        <f>SUM(L14:L18)</f>
        <v>12216.198445111952</v>
      </c>
      <c r="M19" s="141">
        <f>SUM(M14:M18)</f>
        <v>19881.583999999999</v>
      </c>
      <c r="N19" s="182">
        <f>SUM(N14:N18)</f>
        <v>24360.072852475001</v>
      </c>
      <c r="O19" s="132">
        <f>N19/M19</f>
        <v>1.2252581510846923</v>
      </c>
      <c r="P19" s="182">
        <f>SUM(P14:P18)</f>
        <v>13621.061266299828</v>
      </c>
      <c r="Q19" s="235">
        <f t="shared" ref="Q19" si="5">SUM(Q14:Q18)</f>
        <v>4.5603867722580649</v>
      </c>
      <c r="R19" s="141">
        <f>SUM(R14:R18)</f>
        <v>127069.96322599203</v>
      </c>
      <c r="S19" s="141">
        <f>SUM(S14:S18)</f>
        <v>257266.54774227503</v>
      </c>
      <c r="T19" s="55"/>
    </row>
    <row r="20" spans="2:35" ht="15.75" thickBot="1">
      <c r="B20" s="30"/>
      <c r="C20" s="74"/>
      <c r="D20" s="142"/>
      <c r="E20" s="143"/>
      <c r="F20" s="143"/>
      <c r="G20" s="121"/>
      <c r="H20" s="110"/>
      <c r="I20" s="111"/>
      <c r="J20" s="111"/>
      <c r="K20" s="373"/>
      <c r="L20" s="142"/>
      <c r="M20" s="143"/>
      <c r="N20" s="183"/>
      <c r="O20" s="133"/>
      <c r="P20" s="183"/>
      <c r="Q20" s="236"/>
      <c r="R20" s="143"/>
      <c r="S20" s="374"/>
      <c r="T20" s="58"/>
    </row>
    <row r="21" spans="2:35" ht="15.75" thickBot="1">
      <c r="B21" s="73" t="s">
        <v>204</v>
      </c>
      <c r="C21" s="71" t="s">
        <v>143</v>
      </c>
      <c r="D21" s="144"/>
      <c r="E21" s="145"/>
      <c r="F21" s="145"/>
      <c r="G21" s="122"/>
      <c r="H21" s="113"/>
      <c r="I21" s="114"/>
      <c r="J21" s="114"/>
      <c r="K21" s="375"/>
      <c r="L21" s="144"/>
      <c r="M21" s="145"/>
      <c r="N21" s="184"/>
      <c r="O21" s="134"/>
      <c r="P21" s="184"/>
      <c r="Q21" s="237"/>
      <c r="R21" s="145"/>
      <c r="S21" s="376"/>
      <c r="T21" s="55"/>
    </row>
    <row r="22" spans="2:35" ht="15.75" thickBot="1">
      <c r="B22" s="66" t="s">
        <v>111</v>
      </c>
      <c r="C22" s="105" t="s">
        <v>205</v>
      </c>
      <c r="D22" s="257">
        <v>0</v>
      </c>
      <c r="E22" s="211">
        <v>180</v>
      </c>
      <c r="F22" s="211">
        <v>0</v>
      </c>
      <c r="G22" s="377">
        <f t="shared" ref="G22:G26" si="6">F22/E22</f>
        <v>0</v>
      </c>
      <c r="H22" s="378">
        <v>396.33184</v>
      </c>
      <c r="I22" s="379">
        <v>12369.521000000001</v>
      </c>
      <c r="J22" s="379">
        <v>959.27751000000012</v>
      </c>
      <c r="K22" s="380">
        <f t="shared" ref="K22:K26" si="7">J22/I22</f>
        <v>7.7551710369382937E-2</v>
      </c>
      <c r="L22" s="257">
        <v>0</v>
      </c>
      <c r="M22" s="211">
        <v>8363.3649999999998</v>
      </c>
      <c r="N22" s="204">
        <v>0</v>
      </c>
      <c r="O22" s="205">
        <f>N22/M22</f>
        <v>0</v>
      </c>
      <c r="P22" s="204">
        <f>L22*1.099</f>
        <v>0</v>
      </c>
      <c r="Q22" s="238">
        <v>0</v>
      </c>
      <c r="R22" s="204">
        <v>0</v>
      </c>
      <c r="S22" s="425">
        <v>0</v>
      </c>
      <c r="T22" s="52"/>
    </row>
    <row r="23" spans="2:35" ht="17.25">
      <c r="B23" s="794" t="s">
        <v>113</v>
      </c>
      <c r="C23" s="101" t="s">
        <v>206</v>
      </c>
      <c r="D23" s="381">
        <v>79</v>
      </c>
      <c r="E23" s="252">
        <v>126542</v>
      </c>
      <c r="F23" s="382">
        <v>150</v>
      </c>
      <c r="G23" s="383">
        <f t="shared" si="6"/>
        <v>1.1853771870209101E-3</v>
      </c>
      <c r="H23" s="243">
        <v>1318.83844</v>
      </c>
      <c r="I23" s="244">
        <v>4062.402</v>
      </c>
      <c r="J23" s="244">
        <v>2373.5920100000003</v>
      </c>
      <c r="K23" s="383">
        <f t="shared" si="7"/>
        <v>0.58428289716281168</v>
      </c>
      <c r="L23" s="381">
        <v>3621.8</v>
      </c>
      <c r="M23" s="252">
        <v>27604.255000000001</v>
      </c>
      <c r="N23" s="384">
        <v>7159</v>
      </c>
      <c r="O23" s="203">
        <f>N23/M23</f>
        <v>0.25934407575933494</v>
      </c>
      <c r="P23" s="202">
        <f>L23*1.091</f>
        <v>3951.3838000000001</v>
      </c>
      <c r="Q23" s="385">
        <v>1.2202</v>
      </c>
      <c r="R23" s="384">
        <v>53126.2</v>
      </c>
      <c r="S23" s="678">
        <v>105361.1</v>
      </c>
      <c r="T23" s="52"/>
    </row>
    <row r="24" spans="2:35">
      <c r="B24" s="795"/>
      <c r="C24" s="98" t="s">
        <v>115</v>
      </c>
      <c r="D24" s="160">
        <v>0</v>
      </c>
      <c r="E24" s="161">
        <v>25</v>
      </c>
      <c r="F24" s="161">
        <v>0</v>
      </c>
      <c r="G24" s="386">
        <f t="shared" si="6"/>
        <v>0</v>
      </c>
      <c r="H24" s="387">
        <v>138.23302999999999</v>
      </c>
      <c r="I24" s="251">
        <v>279.64699999999999</v>
      </c>
      <c r="J24" s="251">
        <v>272.70753999999999</v>
      </c>
      <c r="K24" s="386">
        <f t="shared" si="7"/>
        <v>0.9751849295719246</v>
      </c>
      <c r="L24" s="160">
        <v>0</v>
      </c>
      <c r="M24" s="161">
        <v>800.52599999999995</v>
      </c>
      <c r="N24" s="185">
        <v>0</v>
      </c>
      <c r="O24" s="135">
        <f t="shared" ref="O24:O25" si="8">N24/M24</f>
        <v>0</v>
      </c>
      <c r="P24" s="185">
        <f>L24*1.077</f>
        <v>0</v>
      </c>
      <c r="Q24" s="239">
        <v>0</v>
      </c>
      <c r="R24" s="185">
        <v>0</v>
      </c>
      <c r="S24" s="426">
        <v>0</v>
      </c>
      <c r="T24" s="52"/>
    </row>
    <row r="25" spans="2:35" ht="15.75" thickBot="1">
      <c r="B25" s="796"/>
      <c r="C25" s="102" t="s">
        <v>116</v>
      </c>
      <c r="D25" s="388">
        <v>0</v>
      </c>
      <c r="E25" s="389">
        <v>1</v>
      </c>
      <c r="F25" s="389">
        <v>0</v>
      </c>
      <c r="G25" s="390" t="s">
        <v>64</v>
      </c>
      <c r="H25" s="391">
        <v>217.83659</v>
      </c>
      <c r="I25" s="392">
        <v>1146.1969999999999</v>
      </c>
      <c r="J25" s="392">
        <v>400.32079999999996</v>
      </c>
      <c r="K25" s="390">
        <f t="shared" si="7"/>
        <v>0.34926003121627436</v>
      </c>
      <c r="L25" s="388">
        <v>0</v>
      </c>
      <c r="M25" s="389">
        <v>607.87900000000002</v>
      </c>
      <c r="N25" s="186">
        <v>0</v>
      </c>
      <c r="O25" s="136">
        <f t="shared" si="8"/>
        <v>0</v>
      </c>
      <c r="P25" s="186">
        <f>L25*1.069</f>
        <v>0</v>
      </c>
      <c r="Q25" s="240">
        <v>0</v>
      </c>
      <c r="R25" s="186">
        <v>0</v>
      </c>
      <c r="S25" s="427">
        <v>0</v>
      </c>
      <c r="T25" s="52"/>
    </row>
    <row r="26" spans="2:35" s="23" customFormat="1" ht="15.75" thickBot="1">
      <c r="B26" s="174" t="s">
        <v>207</v>
      </c>
      <c r="C26" s="174"/>
      <c r="D26" s="178">
        <f>SUM(D22:D25)</f>
        <v>79</v>
      </c>
      <c r="E26" s="178">
        <f>SUM(E22:E25)</f>
        <v>126748</v>
      </c>
      <c r="F26" s="178">
        <f>SUM(F22:F25)</f>
        <v>150</v>
      </c>
      <c r="G26" s="123">
        <f t="shared" si="6"/>
        <v>1.183450626439865E-3</v>
      </c>
      <c r="H26" s="109">
        <f>SUM(H22:H25)</f>
        <v>2071.2399</v>
      </c>
      <c r="I26" s="109">
        <f>SUM(I22:I25)</f>
        <v>17857.767000000003</v>
      </c>
      <c r="J26" s="109">
        <f>SUM(J22:J25)</f>
        <v>4005.89786</v>
      </c>
      <c r="K26" s="372">
        <f t="shared" si="7"/>
        <v>0.22432243964208959</v>
      </c>
      <c r="L26" s="146">
        <f>SUM(L22:L25)</f>
        <v>3621.8</v>
      </c>
      <c r="M26" s="141">
        <f>SUM(M22:M25)</f>
        <v>37376.025000000001</v>
      </c>
      <c r="N26" s="141">
        <f>SUM(N22:N25)</f>
        <v>7159</v>
      </c>
      <c r="O26" s="132">
        <f>N26/M26</f>
        <v>0.19153989756802656</v>
      </c>
      <c r="P26" s="188">
        <f>SUM(P22:P25)</f>
        <v>3951.3838000000001</v>
      </c>
      <c r="Q26" s="235">
        <f>SUM(Q22:Q25)</f>
        <v>1.2202</v>
      </c>
      <c r="R26" s="141">
        <f>SUM(R22:R25)</f>
        <v>53126.2</v>
      </c>
      <c r="S26" s="141">
        <f>SUM(S22:S25)</f>
        <v>105361.1</v>
      </c>
      <c r="T26" s="55"/>
      <c r="U26"/>
      <c r="V26"/>
      <c r="W26"/>
      <c r="X26"/>
      <c r="Y26"/>
      <c r="Z26"/>
      <c r="AA26"/>
      <c r="AB26"/>
      <c r="AC26"/>
      <c r="AD26"/>
      <c r="AE26"/>
      <c r="AF26"/>
      <c r="AG26"/>
      <c r="AH26"/>
      <c r="AI26"/>
    </row>
    <row r="27" spans="2:35" ht="15.75" thickBot="1">
      <c r="B27" s="76"/>
      <c r="C27" s="74"/>
      <c r="D27" s="147"/>
      <c r="E27" s="148"/>
      <c r="F27" s="148"/>
      <c r="G27" s="124"/>
      <c r="H27" s="115"/>
      <c r="I27" s="116"/>
      <c r="J27" s="116"/>
      <c r="K27" s="393"/>
      <c r="L27" s="147"/>
      <c r="M27" s="148"/>
      <c r="N27" s="148"/>
      <c r="O27" s="137"/>
      <c r="P27" s="148"/>
      <c r="Q27" s="241"/>
      <c r="R27" s="148"/>
      <c r="S27" s="428"/>
      <c r="T27" s="58"/>
    </row>
    <row r="28" spans="2:35">
      <c r="B28" s="792" t="s">
        <v>208</v>
      </c>
      <c r="C28" s="65" t="s">
        <v>154</v>
      </c>
      <c r="D28" s="168">
        <v>0</v>
      </c>
      <c r="E28" s="158" t="s">
        <v>64</v>
      </c>
      <c r="F28" s="158">
        <v>0</v>
      </c>
      <c r="G28" s="159" t="s">
        <v>64</v>
      </c>
      <c r="H28" s="165">
        <v>0</v>
      </c>
      <c r="I28" s="163" t="s">
        <v>64</v>
      </c>
      <c r="J28" s="167">
        <v>0</v>
      </c>
      <c r="K28" s="394" t="s">
        <v>64</v>
      </c>
      <c r="L28" s="157">
        <v>0</v>
      </c>
      <c r="M28" s="158" t="s">
        <v>64</v>
      </c>
      <c r="N28" s="180">
        <v>0</v>
      </c>
      <c r="O28" s="129" t="s">
        <v>64</v>
      </c>
      <c r="P28" s="180">
        <f t="shared" ref="P28:P31" si="9">L28*1.115</f>
        <v>0</v>
      </c>
      <c r="Q28" s="231">
        <v>0</v>
      </c>
      <c r="R28" s="180">
        <v>0</v>
      </c>
      <c r="S28" s="421">
        <v>0</v>
      </c>
      <c r="T28" s="58"/>
    </row>
    <row r="29" spans="2:35">
      <c r="B29" s="793"/>
      <c r="C29" s="64" t="s">
        <v>112</v>
      </c>
      <c r="D29" s="169">
        <v>363</v>
      </c>
      <c r="E29" s="161" t="s">
        <v>64</v>
      </c>
      <c r="F29" s="161">
        <v>363</v>
      </c>
      <c r="G29" s="162" t="s">
        <v>64</v>
      </c>
      <c r="H29" s="166">
        <v>0</v>
      </c>
      <c r="I29" s="164" t="s">
        <v>64</v>
      </c>
      <c r="J29" s="164">
        <v>0</v>
      </c>
      <c r="K29" s="386" t="s">
        <v>64</v>
      </c>
      <c r="L29" s="160">
        <v>269.39999999999998</v>
      </c>
      <c r="M29" s="161" t="s">
        <v>64</v>
      </c>
      <c r="N29" s="181">
        <v>269.39999999999998</v>
      </c>
      <c r="O29" s="130" t="s">
        <v>64</v>
      </c>
      <c r="P29" s="181">
        <f t="shared" si="9"/>
        <v>300.38099999999997</v>
      </c>
      <c r="Q29" s="232">
        <v>1.2E-2</v>
      </c>
      <c r="R29" s="181">
        <v>2947.4</v>
      </c>
      <c r="S29" s="422">
        <v>2947.4</v>
      </c>
      <c r="T29" s="58"/>
    </row>
    <row r="30" spans="2:35">
      <c r="B30" s="793"/>
      <c r="C30" s="64" t="s">
        <v>209</v>
      </c>
      <c r="D30" s="169">
        <v>0</v>
      </c>
      <c r="E30" s="161" t="s">
        <v>64</v>
      </c>
      <c r="F30" s="161">
        <v>0</v>
      </c>
      <c r="G30" s="162" t="s">
        <v>64</v>
      </c>
      <c r="H30" s="166">
        <v>0</v>
      </c>
      <c r="I30" s="164" t="s">
        <v>64</v>
      </c>
      <c r="J30" s="164">
        <v>0</v>
      </c>
      <c r="K30" s="386" t="s">
        <v>64</v>
      </c>
      <c r="L30" s="160">
        <v>0</v>
      </c>
      <c r="M30" s="161" t="s">
        <v>64</v>
      </c>
      <c r="N30" s="181">
        <v>0</v>
      </c>
      <c r="O30" s="130" t="s">
        <v>64</v>
      </c>
      <c r="P30" s="181">
        <f t="shared" si="9"/>
        <v>0</v>
      </c>
      <c r="Q30" s="232">
        <v>0</v>
      </c>
      <c r="R30" s="181">
        <v>0</v>
      </c>
      <c r="S30" s="422">
        <v>0</v>
      </c>
      <c r="T30" s="58"/>
    </row>
    <row r="31" spans="2:35">
      <c r="B31" s="793"/>
      <c r="C31" s="64" t="s">
        <v>116</v>
      </c>
      <c r="D31" s="169">
        <v>0</v>
      </c>
      <c r="E31" s="161" t="s">
        <v>64</v>
      </c>
      <c r="F31" s="161">
        <v>0</v>
      </c>
      <c r="G31" s="162" t="s">
        <v>64</v>
      </c>
      <c r="H31" s="166">
        <v>0</v>
      </c>
      <c r="I31" s="164" t="s">
        <v>64</v>
      </c>
      <c r="J31" s="164">
        <v>0</v>
      </c>
      <c r="K31" s="386" t="s">
        <v>64</v>
      </c>
      <c r="L31" s="160">
        <v>0</v>
      </c>
      <c r="M31" s="161" t="s">
        <v>64</v>
      </c>
      <c r="N31" s="181">
        <v>0</v>
      </c>
      <c r="O31" s="130" t="s">
        <v>64</v>
      </c>
      <c r="P31" s="181">
        <f t="shared" si="9"/>
        <v>0</v>
      </c>
      <c r="Q31" s="232">
        <v>0</v>
      </c>
      <c r="R31" s="181">
        <v>0</v>
      </c>
      <c r="S31" s="422">
        <v>0</v>
      </c>
      <c r="T31" s="58"/>
    </row>
    <row r="32" spans="2:35" ht="15.75" thickBot="1">
      <c r="B32" s="170"/>
      <c r="C32" s="200" t="s">
        <v>210</v>
      </c>
      <c r="D32" s="194">
        <f>SUM(D28:D31)</f>
        <v>363</v>
      </c>
      <c r="E32" s="195">
        <v>2088</v>
      </c>
      <c r="F32" s="195">
        <f>SUM(F28:F31)</f>
        <v>363</v>
      </c>
      <c r="G32" s="196">
        <f t="shared" ref="G32" si="10">F32/E32</f>
        <v>0.17385057471264367</v>
      </c>
      <c r="H32" s="197">
        <v>150.07754</v>
      </c>
      <c r="I32" s="245">
        <v>1364.884</v>
      </c>
      <c r="J32" s="245">
        <v>312.31704999999999</v>
      </c>
      <c r="K32" s="198">
        <f>J32/I32</f>
        <v>0.22882314541015938</v>
      </c>
      <c r="L32" s="194">
        <f>SUM(L28:L31)</f>
        <v>269.39999999999998</v>
      </c>
      <c r="M32" s="195">
        <v>2298.1190000000001</v>
      </c>
      <c r="N32" s="199">
        <f>SUM(N28:N31)</f>
        <v>269.39999999999998</v>
      </c>
      <c r="O32" s="774">
        <f>N32/M32</f>
        <v>0.11722630551333502</v>
      </c>
      <c r="P32" s="201">
        <f t="shared" ref="P32:R32" si="11">SUM(P28:P31)</f>
        <v>300.38099999999997</v>
      </c>
      <c r="Q32" s="233">
        <f t="shared" si="11"/>
        <v>1.2E-2</v>
      </c>
      <c r="R32" s="201">
        <f t="shared" si="11"/>
        <v>2947.4</v>
      </c>
      <c r="S32" s="429">
        <f t="shared" ref="S32" si="12">SUM(S28:S31)</f>
        <v>2947.4</v>
      </c>
      <c r="T32" s="58"/>
    </row>
    <row r="33" spans="2:35" ht="15.75" thickBot="1">
      <c r="B33" s="76"/>
      <c r="C33" s="74"/>
      <c r="D33" s="147"/>
      <c r="E33" s="148"/>
      <c r="F33" s="148"/>
      <c r="G33" s="124"/>
      <c r="H33" s="247"/>
      <c r="I33" s="248"/>
      <c r="J33" s="248"/>
      <c r="K33" s="395"/>
      <c r="L33" s="147"/>
      <c r="M33" s="148"/>
      <c r="N33" s="148"/>
      <c r="O33" s="137"/>
      <c r="P33" s="148"/>
      <c r="Q33" s="241"/>
      <c r="R33" s="148"/>
      <c r="S33" s="428"/>
      <c r="T33" s="55"/>
    </row>
    <row r="34" spans="2:35" ht="15.75" thickBot="1">
      <c r="B34" s="174" t="s">
        <v>133</v>
      </c>
      <c r="C34" s="174"/>
      <c r="D34" s="175"/>
      <c r="E34" s="176"/>
      <c r="F34" s="176"/>
      <c r="G34" s="177"/>
      <c r="H34" s="246"/>
      <c r="I34" s="109"/>
      <c r="J34" s="109"/>
      <c r="K34" s="120"/>
      <c r="L34" s="175"/>
      <c r="M34" s="176"/>
      <c r="N34" s="396"/>
      <c r="O34" s="397"/>
      <c r="P34" s="396"/>
      <c r="Q34" s="398"/>
      <c r="R34" s="176"/>
      <c r="S34" s="399"/>
      <c r="T34" s="52"/>
    </row>
    <row r="35" spans="2:35">
      <c r="B35" s="172" t="s">
        <v>211</v>
      </c>
      <c r="C35" s="173"/>
      <c r="D35" s="276" t="s">
        <v>64</v>
      </c>
      <c r="E35" s="277" t="s">
        <v>64</v>
      </c>
      <c r="F35" s="277" t="s">
        <v>64</v>
      </c>
      <c r="G35" s="400" t="s">
        <v>64</v>
      </c>
      <c r="H35" s="401" t="s">
        <v>64</v>
      </c>
      <c r="I35" s="402" t="s">
        <v>64</v>
      </c>
      <c r="J35" s="402" t="s">
        <v>64</v>
      </c>
      <c r="K35" s="439" t="s">
        <v>64</v>
      </c>
      <c r="L35" s="276" t="s">
        <v>64</v>
      </c>
      <c r="M35" s="277" t="s">
        <v>64</v>
      </c>
      <c r="N35" s="180" t="s">
        <v>64</v>
      </c>
      <c r="O35" s="129" t="s">
        <v>64</v>
      </c>
      <c r="P35" s="180" t="s">
        <v>64</v>
      </c>
      <c r="Q35" s="231" t="s">
        <v>64</v>
      </c>
      <c r="R35" s="180" t="s">
        <v>64</v>
      </c>
      <c r="S35" s="421" t="s">
        <v>64</v>
      </c>
      <c r="T35" s="55"/>
    </row>
    <row r="36" spans="2:35" ht="15.75" thickBot="1">
      <c r="B36" s="22" t="s">
        <v>212</v>
      </c>
      <c r="C36" s="29"/>
      <c r="D36" s="150">
        <f>SUM(D35)</f>
        <v>0</v>
      </c>
      <c r="E36" s="151">
        <f>SUM(E35)</f>
        <v>0</v>
      </c>
      <c r="F36" s="151">
        <f>SUM(F35)</f>
        <v>0</v>
      </c>
      <c r="G36" s="125" t="s">
        <v>64</v>
      </c>
      <c r="H36" s="117">
        <f>SUM(H35)</f>
        <v>0</v>
      </c>
      <c r="I36" s="118">
        <f>SUM(I35)</f>
        <v>0</v>
      </c>
      <c r="J36" s="118">
        <f>SUM(J35)</f>
        <v>0</v>
      </c>
      <c r="K36" s="271" t="s">
        <v>64</v>
      </c>
      <c r="L36" s="150">
        <f>SUM(L35)</f>
        <v>0</v>
      </c>
      <c r="M36" s="151">
        <f>SUM(M35)</f>
        <v>0</v>
      </c>
      <c r="N36" s="151">
        <f>SUM(N35)</f>
        <v>0</v>
      </c>
      <c r="O36" s="138" t="s">
        <v>64</v>
      </c>
      <c r="P36" s="151">
        <f>SUM(P35)</f>
        <v>0</v>
      </c>
      <c r="Q36" s="242">
        <f>SUM(Q35)</f>
        <v>0</v>
      </c>
      <c r="R36" s="151">
        <f>SUM(R35)</f>
        <v>0</v>
      </c>
      <c r="S36" s="430">
        <f>SUM(S35)</f>
        <v>0</v>
      </c>
      <c r="T36" s="58"/>
    </row>
    <row r="37" spans="2:35" ht="15.75" thickBot="1">
      <c r="B37" s="30"/>
      <c r="C37" s="31"/>
      <c r="D37" s="152"/>
      <c r="E37" s="143"/>
      <c r="F37" s="143"/>
      <c r="G37" s="126"/>
      <c r="H37" s="119"/>
      <c r="I37" s="112"/>
      <c r="J37" s="112"/>
      <c r="K37" s="440"/>
      <c r="L37" s="272"/>
      <c r="M37" s="273"/>
      <c r="N37" s="273"/>
      <c r="O37" s="274"/>
      <c r="P37" s="273"/>
      <c r="Q37" s="275"/>
      <c r="R37" s="273"/>
      <c r="S37" s="446"/>
      <c r="T37" s="55"/>
    </row>
    <row r="38" spans="2:35" ht="15.75" thickBot="1">
      <c r="B38" s="33" t="s">
        <v>213</v>
      </c>
      <c r="C38" s="34"/>
      <c r="D38" s="153"/>
      <c r="E38" s="154"/>
      <c r="F38" s="154"/>
      <c r="G38" s="225"/>
      <c r="H38" s="278">
        <v>2.6714099999999998</v>
      </c>
      <c r="I38" s="226">
        <v>950</v>
      </c>
      <c r="J38" s="278">
        <v>20.440510000000003</v>
      </c>
      <c r="K38" s="441">
        <f>J38/I38</f>
        <v>2.1516326315789477E-2</v>
      </c>
      <c r="L38" s="153"/>
      <c r="M38" s="154"/>
      <c r="N38" s="154"/>
      <c r="O38" s="139"/>
      <c r="P38" s="154"/>
      <c r="Q38" s="154"/>
      <c r="R38" s="154"/>
      <c r="S38" s="431"/>
      <c r="T38" s="25"/>
      <c r="U38" s="23"/>
      <c r="V38" s="23"/>
      <c r="W38" s="23"/>
      <c r="X38" s="23"/>
      <c r="Y38" s="23"/>
      <c r="Z38" s="23"/>
      <c r="AA38" s="23"/>
      <c r="AB38" s="23"/>
      <c r="AC38" s="23"/>
      <c r="AD38" s="23"/>
      <c r="AE38" s="23"/>
      <c r="AF38" s="23"/>
      <c r="AG38" s="23"/>
      <c r="AH38" s="23"/>
      <c r="AI38" s="23"/>
    </row>
    <row r="39" spans="2:35" ht="15.75" thickBot="1">
      <c r="B39" s="22" t="s">
        <v>132</v>
      </c>
      <c r="C39" s="29"/>
      <c r="D39" s="150">
        <f>SUM(D36,D32,D26,D19)</f>
        <v>291097</v>
      </c>
      <c r="E39" s="151">
        <f>SUM(E36,E32,E26,E19)</f>
        <v>217271</v>
      </c>
      <c r="F39" s="151">
        <f>SUM(F36,F32,F26,F19)</f>
        <v>343144</v>
      </c>
      <c r="G39" s="125">
        <f>F39/E39</f>
        <v>1.5793364047663978</v>
      </c>
      <c r="H39" s="541">
        <f>SUM(H36,H32,H26,H19,H38)</f>
        <v>4250.8504699999994</v>
      </c>
      <c r="I39" s="537">
        <f>SUM(I36,I32,I26,I19,I38)</f>
        <v>36024.391000000003</v>
      </c>
      <c r="J39" s="537">
        <f>SUM(J36,J32,J26,J19,J38)</f>
        <v>8425.6356300000007</v>
      </c>
      <c r="K39" s="538">
        <f>J39/I39</f>
        <v>0.23388696924814079</v>
      </c>
      <c r="L39" s="150">
        <f>SUM(L36,L32,L26,L19)</f>
        <v>16107.398445111952</v>
      </c>
      <c r="M39" s="151">
        <f>SUM(M36,M32,M26,M19)</f>
        <v>59555.728000000003</v>
      </c>
      <c r="N39" s="151">
        <f>SUM(N36,N32,N26,N19)</f>
        <v>31788.472852475003</v>
      </c>
      <c r="O39" s="138">
        <f>N39/M39</f>
        <v>0.53376012551597052</v>
      </c>
      <c r="P39" s="151">
        <f>SUM(P36,P32,P26,P19)</f>
        <v>17872.826066299829</v>
      </c>
      <c r="Q39" s="242">
        <f>SUM(Q36,Q32,Q26,Q19)</f>
        <v>5.7925867722580646</v>
      </c>
      <c r="R39" s="151">
        <f>SUM(R36,R32,R26,R19)</f>
        <v>183143.56322599202</v>
      </c>
      <c r="S39" s="430">
        <f>SUM(S36,S32,S26,S19)</f>
        <v>365575.04774227506</v>
      </c>
      <c r="T39" s="55"/>
    </row>
    <row r="40" spans="2:35" ht="17.25">
      <c r="B40" s="35" t="s">
        <v>214</v>
      </c>
      <c r="C40" s="23"/>
      <c r="D40" s="23"/>
      <c r="E40" s="23"/>
      <c r="F40" s="23"/>
      <c r="G40" s="23"/>
      <c r="H40" s="23"/>
      <c r="I40" s="23"/>
      <c r="J40" s="279"/>
      <c r="K40" s="23"/>
      <c r="L40" s="542"/>
      <c r="M40" s="23"/>
      <c r="N40" s="280"/>
      <c r="O40" s="23"/>
      <c r="P40" s="23"/>
      <c r="Q40" s="23"/>
      <c r="R40" s="542"/>
      <c r="S40" s="25"/>
      <c r="T40" s="25"/>
      <c r="U40" s="23"/>
      <c r="V40" s="23"/>
      <c r="W40" s="23"/>
      <c r="X40" s="23"/>
      <c r="Y40" s="23"/>
      <c r="Z40" s="23"/>
      <c r="AA40" s="23"/>
      <c r="AB40" s="23"/>
      <c r="AC40" s="23"/>
      <c r="AD40" s="23"/>
      <c r="AE40" s="23"/>
      <c r="AF40" s="23"/>
      <c r="AG40" s="23"/>
      <c r="AH40" s="23"/>
      <c r="AI40" s="23"/>
    </row>
    <row r="41" spans="2:35" ht="17.25">
      <c r="B41" s="35" t="s">
        <v>215</v>
      </c>
      <c r="C41" s="23"/>
      <c r="D41" s="23"/>
      <c r="E41" s="23"/>
      <c r="F41" s="23"/>
      <c r="G41" s="23"/>
      <c r="H41" s="23"/>
      <c r="I41" s="23"/>
      <c r="J41" s="23"/>
      <c r="K41" s="23"/>
      <c r="L41" s="23"/>
      <c r="M41" s="23"/>
      <c r="N41" s="23"/>
      <c r="O41" s="23"/>
      <c r="P41" s="23"/>
      <c r="Q41" s="23"/>
      <c r="R41" s="23"/>
    </row>
    <row r="42" spans="2:35" ht="17.25">
      <c r="B42" t="s">
        <v>216</v>
      </c>
      <c r="N42"/>
      <c r="O42"/>
      <c r="P42"/>
      <c r="Q42"/>
      <c r="S42"/>
    </row>
    <row r="43" spans="2:35" ht="17.25">
      <c r="B43" s="35" t="s">
        <v>217</v>
      </c>
    </row>
    <row r="44" spans="2:35">
      <c r="B44" t="s">
        <v>218</v>
      </c>
    </row>
    <row r="48" spans="2:35">
      <c r="K48" s="206"/>
    </row>
    <row r="49" spans="11:20">
      <c r="K49" s="206"/>
    </row>
    <row r="50" spans="11:20">
      <c r="K50" s="206"/>
    </row>
    <row r="51" spans="11:20">
      <c r="K51" s="206"/>
    </row>
    <row r="52" spans="11:20">
      <c r="K52" s="206"/>
    </row>
    <row r="53" spans="11:20">
      <c r="K53" s="206"/>
    </row>
    <row r="54" spans="11:20">
      <c r="K54" s="206"/>
    </row>
    <row r="55" spans="11:20">
      <c r="K55" s="206"/>
    </row>
    <row r="56" spans="11:20">
      <c r="K56" s="206"/>
    </row>
    <row r="57" spans="11:20">
      <c r="K57" s="206"/>
    </row>
    <row r="58" spans="11:20">
      <c r="K58" s="206"/>
    </row>
    <row r="59" spans="11:20">
      <c r="K59" s="206"/>
    </row>
    <row r="61" spans="11:20">
      <c r="K61" s="206"/>
      <c r="M61" s="16"/>
      <c r="P61" s="17"/>
      <c r="Q61"/>
      <c r="T61"/>
    </row>
    <row r="62" spans="11:20">
      <c r="K62" s="206"/>
      <c r="M62" s="16"/>
      <c r="P62" s="17"/>
      <c r="Q62"/>
      <c r="T62"/>
    </row>
    <row r="63" spans="11:20">
      <c r="K63" s="206"/>
      <c r="M63" s="16"/>
      <c r="P63" s="17"/>
      <c r="Q63"/>
      <c r="T63"/>
    </row>
    <row r="64" spans="11:20">
      <c r="K64" s="206"/>
      <c r="M64" s="16"/>
      <c r="P64" s="17"/>
      <c r="Q64"/>
      <c r="T64"/>
    </row>
    <row r="65" spans="11:20">
      <c r="K65" s="206"/>
      <c r="M65" s="16"/>
      <c r="P65" s="17"/>
      <c r="Q65"/>
      <c r="T65"/>
    </row>
    <row r="66" spans="11:20">
      <c r="K66" s="206"/>
      <c r="M66" s="16"/>
      <c r="P66" s="17"/>
      <c r="Q66"/>
      <c r="T66"/>
    </row>
    <row r="67" spans="11:20">
      <c r="K67" s="206"/>
      <c r="M67" s="16"/>
      <c r="P67" s="17"/>
      <c r="Q67"/>
      <c r="T67"/>
    </row>
    <row r="68" spans="11:20">
      <c r="K68" s="206"/>
      <c r="M68" s="16"/>
      <c r="P68" s="17"/>
      <c r="Q68"/>
      <c r="T68"/>
    </row>
    <row r="69" spans="11:20">
      <c r="K69" s="206"/>
      <c r="M69" s="16"/>
      <c r="P69" s="17"/>
      <c r="Q69"/>
      <c r="T69"/>
    </row>
    <row r="70" spans="11:20">
      <c r="K70" s="206"/>
      <c r="M70" s="16"/>
      <c r="P70" s="17"/>
      <c r="Q70"/>
      <c r="T70"/>
    </row>
    <row r="71" spans="11:20">
      <c r="K71" s="206"/>
      <c r="M71" s="16"/>
      <c r="P71" s="17"/>
      <c r="Q71"/>
      <c r="T71"/>
    </row>
    <row r="72" spans="11:20">
      <c r="K72" s="206"/>
      <c r="M72" s="16"/>
      <c r="P72" s="17"/>
      <c r="Q72"/>
      <c r="T72"/>
    </row>
  </sheetData>
  <mergeCells count="7">
    <mergeCell ref="L4:S4"/>
    <mergeCell ref="D4:G4"/>
    <mergeCell ref="H4:K4"/>
    <mergeCell ref="B28:B31"/>
    <mergeCell ref="B23:B25"/>
    <mergeCell ref="B8:B13"/>
    <mergeCell ref="B15:B17"/>
  </mergeCells>
  <pageMargins left="0.25" right="0.25" top="0.75" bottom="0.75" header="0.3" footer="0.3"/>
  <pageSetup scale="10" fitToHeight="0" orientation="landscape" r:id="rId1"/>
  <headerFooter>
    <oddHeader xml:space="preserve">&amp;CACE Q2 of Program Year 2022 Portfolio Summary Reporting Table </oddHeader>
    <oddFooter>&amp;C&amp;N&amp;R&amp;D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4659260841701"/>
    <pageSetUpPr fitToPage="1"/>
  </sheetPr>
  <dimension ref="A1:AD29"/>
  <sheetViews>
    <sheetView topLeftCell="A9" zoomScaleSheetLayoutView="100" workbookViewId="0"/>
  </sheetViews>
  <sheetFormatPr defaultColWidth="9.28515625" defaultRowHeight="15"/>
  <cols>
    <col min="1" max="1" width="4.28515625" customWidth="1"/>
    <col min="2" max="2" width="22.140625" customWidth="1"/>
    <col min="3" max="3" width="39.42578125" customWidth="1"/>
    <col min="4" max="8" width="13.5703125" customWidth="1"/>
    <col min="9" max="9" width="14.5703125" customWidth="1"/>
    <col min="10" max="10" width="16.28515625" customWidth="1"/>
    <col min="11" max="11" width="16.28515625" style="18" customWidth="1"/>
    <col min="12" max="13" width="16.28515625" customWidth="1"/>
    <col min="14" max="15" width="15.7109375" style="16" customWidth="1"/>
    <col min="16" max="16" width="13.5703125" customWidth="1"/>
    <col min="20" max="20" width="9.28515625" customWidth="1"/>
  </cols>
  <sheetData>
    <row r="1" spans="1:15" ht="23.25">
      <c r="A1" s="15" t="s">
        <v>157</v>
      </c>
      <c r="K1" s="53"/>
      <c r="N1" s="52"/>
      <c r="O1" s="52"/>
    </row>
    <row r="2" spans="1:15">
      <c r="K2" s="53"/>
      <c r="N2" s="52"/>
      <c r="O2" s="52"/>
    </row>
    <row r="3" spans="1:15" ht="19.5" thickBot="1">
      <c r="A3" s="19"/>
      <c r="B3" s="19" t="s">
        <v>158</v>
      </c>
      <c r="C3" s="19"/>
      <c r="D3" s="19"/>
      <c r="E3" s="19"/>
      <c r="F3" s="19"/>
      <c r="G3" s="19"/>
      <c r="H3" s="19"/>
      <c r="K3" s="63"/>
      <c r="N3" s="52"/>
      <c r="O3" s="52"/>
    </row>
    <row r="4" spans="1:15" ht="43.15" customHeight="1" thickBot="1">
      <c r="A4" t="s">
        <v>159</v>
      </c>
      <c r="B4" s="78"/>
      <c r="C4" s="281"/>
      <c r="D4" s="788" t="s">
        <v>160</v>
      </c>
      <c r="E4" s="788"/>
      <c r="F4" s="806" t="s">
        <v>219</v>
      </c>
      <c r="G4" s="807"/>
      <c r="H4" s="808" t="s">
        <v>162</v>
      </c>
      <c r="I4" s="809"/>
      <c r="K4" s="53"/>
      <c r="M4" s="60" t="s">
        <v>160</v>
      </c>
      <c r="N4" s="60"/>
      <c r="O4" s="60"/>
    </row>
    <row r="5" spans="1:15" ht="21" customHeight="1" thickBot="1">
      <c r="B5" s="95"/>
      <c r="C5" s="465"/>
      <c r="D5" s="464" t="s">
        <v>163</v>
      </c>
      <c r="E5" s="84" t="s">
        <v>164</v>
      </c>
      <c r="F5" s="89" t="s">
        <v>165</v>
      </c>
      <c r="G5" s="90" t="s">
        <v>220</v>
      </c>
      <c r="H5" s="80" t="s">
        <v>167</v>
      </c>
      <c r="I5" s="81" t="s">
        <v>168</v>
      </c>
      <c r="K5" s="53"/>
      <c r="N5" s="52"/>
      <c r="O5" s="52"/>
    </row>
    <row r="6" spans="1:15" ht="52.5" customHeight="1" thickBot="1">
      <c r="B6" s="96"/>
      <c r="C6" s="466"/>
      <c r="D6" s="801" t="s">
        <v>144</v>
      </c>
      <c r="E6" s="801"/>
      <c r="F6" s="802" t="s">
        <v>221</v>
      </c>
      <c r="G6" s="803"/>
      <c r="H6" s="804" t="s">
        <v>222</v>
      </c>
      <c r="I6" s="805"/>
      <c r="K6" s="53"/>
      <c r="N6" s="52"/>
      <c r="O6" s="52"/>
    </row>
    <row r="7" spans="1:15" ht="30.75" thickBot="1">
      <c r="B7" s="71" t="s">
        <v>193</v>
      </c>
      <c r="C7" s="583" t="s">
        <v>223</v>
      </c>
      <c r="D7" s="82" t="s">
        <v>224</v>
      </c>
      <c r="E7" s="97" t="s">
        <v>225</v>
      </c>
      <c r="F7" s="82" t="s">
        <v>224</v>
      </c>
      <c r="G7" s="97" t="s">
        <v>225</v>
      </c>
      <c r="H7" s="82" t="s">
        <v>224</v>
      </c>
      <c r="I7" s="94" t="s">
        <v>225</v>
      </c>
      <c r="J7" s="55"/>
      <c r="K7" s="56"/>
      <c r="L7" s="55"/>
      <c r="M7" s="55"/>
      <c r="N7" s="55"/>
      <c r="O7" s="55"/>
    </row>
    <row r="8" spans="1:15">
      <c r="B8" s="810" t="s">
        <v>121</v>
      </c>
      <c r="C8" s="584" t="s">
        <v>96</v>
      </c>
      <c r="D8" s="575">
        <v>11</v>
      </c>
      <c r="E8" s="601">
        <v>680</v>
      </c>
      <c r="F8" s="606">
        <v>5</v>
      </c>
      <c r="G8" s="607">
        <v>230.36212999999998</v>
      </c>
      <c r="H8" s="597">
        <v>4.7447080999999995</v>
      </c>
      <c r="I8" s="616">
        <v>331.24096889999998</v>
      </c>
      <c r="J8" s="52"/>
      <c r="K8" s="57"/>
      <c r="L8" s="52"/>
      <c r="M8" s="52"/>
      <c r="N8" s="52"/>
      <c r="O8" s="52"/>
    </row>
    <row r="9" spans="1:15">
      <c r="B9" s="811"/>
      <c r="C9" s="585" t="s">
        <v>101</v>
      </c>
      <c r="D9" s="576">
        <v>20159</v>
      </c>
      <c r="E9" s="602">
        <v>0</v>
      </c>
      <c r="F9" s="608">
        <v>558.60589000000004</v>
      </c>
      <c r="G9" s="259">
        <v>0</v>
      </c>
      <c r="H9" s="622">
        <v>3944.8919139999998</v>
      </c>
      <c r="I9" s="617">
        <v>0</v>
      </c>
      <c r="J9" s="52"/>
      <c r="K9" s="57"/>
      <c r="L9" s="52"/>
      <c r="M9" s="52"/>
      <c r="N9" s="52"/>
      <c r="O9" s="52"/>
    </row>
    <row r="10" spans="1:15" ht="15.75" thickBot="1">
      <c r="B10" s="811"/>
      <c r="C10" s="417" t="s">
        <v>226</v>
      </c>
      <c r="D10" s="576">
        <v>0</v>
      </c>
      <c r="E10" s="602">
        <v>85656</v>
      </c>
      <c r="F10" s="608">
        <v>0</v>
      </c>
      <c r="G10" s="259">
        <v>637.58674999999994</v>
      </c>
      <c r="H10" s="622">
        <v>0</v>
      </c>
      <c r="I10" s="617">
        <v>13522.515263999998</v>
      </c>
      <c r="J10" s="52"/>
      <c r="K10" s="57"/>
      <c r="L10" s="52"/>
      <c r="M10" s="52"/>
      <c r="N10" s="52"/>
      <c r="O10" s="52"/>
    </row>
    <row r="11" spans="1:15" ht="14.45" customHeight="1">
      <c r="B11" s="810" t="s">
        <v>122</v>
      </c>
      <c r="C11" s="584" t="s">
        <v>227</v>
      </c>
      <c r="D11" s="575">
        <v>5</v>
      </c>
      <c r="E11" s="601">
        <v>37</v>
      </c>
      <c r="F11" s="606">
        <v>38.024000000000001</v>
      </c>
      <c r="G11" s="607">
        <v>141.91999999999999</v>
      </c>
      <c r="H11" s="597">
        <v>4.1100000000000003</v>
      </c>
      <c r="I11" s="616">
        <v>34.090000000000003</v>
      </c>
      <c r="J11" s="61"/>
      <c r="K11" s="61"/>
      <c r="L11" s="61"/>
      <c r="M11" s="52"/>
      <c r="N11" s="52"/>
      <c r="O11" s="52"/>
    </row>
    <row r="12" spans="1:15" ht="14.45" customHeight="1">
      <c r="B12" s="811"/>
      <c r="C12" s="586" t="s">
        <v>106</v>
      </c>
      <c r="D12" s="576">
        <v>159</v>
      </c>
      <c r="E12" s="602">
        <v>98</v>
      </c>
      <c r="F12" s="608">
        <v>31.520440000000001</v>
      </c>
      <c r="G12" s="259">
        <v>20.87763</v>
      </c>
      <c r="H12" s="622">
        <v>77.77</v>
      </c>
      <c r="I12" s="617">
        <v>51.51</v>
      </c>
      <c r="J12" s="61"/>
      <c r="K12" s="61"/>
      <c r="L12" s="61"/>
      <c r="M12" s="52"/>
      <c r="N12" s="52"/>
      <c r="O12" s="52"/>
    </row>
    <row r="13" spans="1:15" ht="14.45" customHeight="1" thickBot="1">
      <c r="B13" s="811"/>
      <c r="C13" s="587" t="s">
        <v>108</v>
      </c>
      <c r="D13" s="577">
        <f>'Ap B - Qtr Electric Master'!F17</f>
        <v>107</v>
      </c>
      <c r="E13" s="603" t="s">
        <v>64</v>
      </c>
      <c r="F13" s="609">
        <v>63.89432</v>
      </c>
      <c r="G13" s="610" t="s">
        <v>64</v>
      </c>
      <c r="H13" s="623">
        <f>'Ap B - Qtr Electric Master'!N17</f>
        <v>109.4</v>
      </c>
      <c r="I13" s="618" t="s">
        <v>64</v>
      </c>
      <c r="J13" s="61"/>
      <c r="K13" s="61"/>
      <c r="L13" s="61"/>
      <c r="M13" s="52"/>
      <c r="N13" s="52"/>
      <c r="O13" s="52"/>
    </row>
    <row r="14" spans="1:15" ht="45.75" thickBot="1">
      <c r="B14" s="75" t="s">
        <v>123</v>
      </c>
      <c r="C14" s="588" t="s">
        <v>110</v>
      </c>
      <c r="D14" s="575" t="s">
        <v>103</v>
      </c>
      <c r="E14" s="601" t="s">
        <v>103</v>
      </c>
      <c r="F14" s="606" t="s">
        <v>103</v>
      </c>
      <c r="G14" s="607" t="s">
        <v>103</v>
      </c>
      <c r="H14" s="597" t="s">
        <v>103</v>
      </c>
      <c r="I14" s="212" t="s">
        <v>103</v>
      </c>
      <c r="J14" s="52"/>
      <c r="K14" s="53"/>
      <c r="L14" s="52"/>
      <c r="M14" s="52"/>
      <c r="N14" s="52"/>
      <c r="O14" s="52"/>
    </row>
    <row r="15" spans="1:15" ht="15.75" thickBot="1">
      <c r="B15" s="174" t="s">
        <v>203</v>
      </c>
      <c r="C15" s="589"/>
      <c r="D15" s="578">
        <f t="shared" ref="D15:I15" si="0">SUM(D8:D14)</f>
        <v>20441</v>
      </c>
      <c r="E15" s="604">
        <f t="shared" si="0"/>
        <v>86471</v>
      </c>
      <c r="F15" s="611">
        <f t="shared" si="0"/>
        <v>697.04465000000005</v>
      </c>
      <c r="G15" s="612">
        <f t="shared" si="0"/>
        <v>1030.7465099999999</v>
      </c>
      <c r="H15" s="624">
        <f t="shared" si="0"/>
        <v>4140.9166220999996</v>
      </c>
      <c r="I15" s="579">
        <f t="shared" si="0"/>
        <v>13939.356232899998</v>
      </c>
      <c r="J15" s="55"/>
      <c r="K15" s="56"/>
      <c r="L15" s="55"/>
      <c r="M15" s="55"/>
      <c r="N15" s="55"/>
      <c r="O15" s="55"/>
    </row>
    <row r="16" spans="1:15" ht="15.75" thickBot="1">
      <c r="B16" s="594"/>
      <c r="C16" s="590"/>
      <c r="D16" s="69"/>
      <c r="E16" s="86"/>
      <c r="F16" s="69"/>
      <c r="G16" s="32"/>
      <c r="H16" s="30"/>
      <c r="I16" s="70"/>
      <c r="J16" s="58"/>
      <c r="K16" s="58"/>
      <c r="L16" s="58"/>
      <c r="M16" s="58"/>
      <c r="N16" s="58"/>
      <c r="O16" s="58"/>
    </row>
    <row r="17" spans="2:30">
      <c r="B17" s="799" t="s">
        <v>117</v>
      </c>
      <c r="C17" s="92" t="s">
        <v>154</v>
      </c>
      <c r="D17" s="597">
        <v>0</v>
      </c>
      <c r="E17" s="598">
        <v>0</v>
      </c>
      <c r="F17" s="613">
        <v>0</v>
      </c>
      <c r="G17" s="605">
        <v>0</v>
      </c>
      <c r="H17" s="597">
        <v>0</v>
      </c>
      <c r="I17" s="616">
        <v>0</v>
      </c>
      <c r="J17" s="58"/>
      <c r="K17" s="58"/>
      <c r="L17" s="58"/>
      <c r="M17" s="58"/>
      <c r="N17" s="58"/>
      <c r="O17" s="58"/>
    </row>
    <row r="18" spans="2:30" ht="15.75" thickBot="1">
      <c r="B18" s="800"/>
      <c r="C18" s="697" t="s">
        <v>228</v>
      </c>
      <c r="D18" s="599">
        <v>72</v>
      </c>
      <c r="E18" s="600">
        <v>291</v>
      </c>
      <c r="F18" s="609">
        <v>15.600580000000001</v>
      </c>
      <c r="G18" s="609">
        <v>48.174300000000002</v>
      </c>
      <c r="H18" s="599">
        <v>36.869999999999997</v>
      </c>
      <c r="I18" s="619">
        <v>232.41</v>
      </c>
      <c r="J18" s="58"/>
      <c r="K18" s="58"/>
      <c r="L18" s="58"/>
      <c r="M18" s="58"/>
      <c r="N18" s="58"/>
      <c r="O18" s="58"/>
    </row>
    <row r="19" spans="2:30" ht="15.75" thickBot="1">
      <c r="B19" s="174" t="s">
        <v>229</v>
      </c>
      <c r="C19" s="589"/>
      <c r="D19" s="459">
        <f>SUM(D17:D18)</f>
        <v>72</v>
      </c>
      <c r="E19" s="582">
        <f t="shared" ref="E19" si="1">SUM(E17:E18)</f>
        <v>291</v>
      </c>
      <c r="F19" s="611">
        <f>SUM(F17:F18)</f>
        <v>15.600580000000001</v>
      </c>
      <c r="G19" s="612">
        <f>SUM(G17:G18)</f>
        <v>48.174300000000002</v>
      </c>
      <c r="H19" s="459">
        <f>SUM(H17:H18)</f>
        <v>36.869999999999997</v>
      </c>
      <c r="I19" s="579">
        <f>SUM(I17:I18)</f>
        <v>232.41</v>
      </c>
      <c r="J19" s="58"/>
      <c r="K19" s="58"/>
      <c r="L19" s="58"/>
      <c r="M19" s="58"/>
      <c r="N19" s="58"/>
      <c r="O19" s="58"/>
    </row>
    <row r="20" spans="2:30" ht="15.75" thickBot="1">
      <c r="B20" s="594"/>
      <c r="C20" s="591"/>
      <c r="D20" s="152"/>
      <c r="E20" s="451"/>
      <c r="F20" s="452"/>
      <c r="G20" s="453"/>
      <c r="H20" s="152"/>
      <c r="I20" s="374"/>
      <c r="J20" s="55"/>
      <c r="K20" s="56"/>
      <c r="L20" s="55"/>
      <c r="M20" s="55"/>
      <c r="N20" s="55"/>
      <c r="O20" s="55"/>
    </row>
    <row r="21" spans="2:30" ht="15.75" thickBot="1">
      <c r="B21" s="174" t="s">
        <v>133</v>
      </c>
      <c r="C21" s="589"/>
      <c r="D21" s="455"/>
      <c r="E21" s="456"/>
      <c r="F21" s="457"/>
      <c r="G21" s="458"/>
      <c r="H21" s="459"/>
      <c r="I21" s="579"/>
      <c r="J21" s="55"/>
      <c r="K21" s="56"/>
      <c r="L21" s="55"/>
      <c r="M21" s="55"/>
      <c r="N21" s="55"/>
      <c r="O21" s="55"/>
    </row>
    <row r="22" spans="2:30">
      <c r="B22" s="595" t="s">
        <v>230</v>
      </c>
      <c r="C22" s="592"/>
      <c r="D22" s="149" t="s">
        <v>64</v>
      </c>
      <c r="E22" s="460" t="s">
        <v>64</v>
      </c>
      <c r="F22" s="461" t="s">
        <v>64</v>
      </c>
      <c r="G22" s="462" t="s">
        <v>64</v>
      </c>
      <c r="H22" s="149" t="s">
        <v>64</v>
      </c>
      <c r="I22" s="620" t="s">
        <v>64</v>
      </c>
      <c r="J22" s="54"/>
      <c r="K22" s="53"/>
      <c r="L22" s="54"/>
      <c r="M22" s="54"/>
      <c r="N22" s="52"/>
      <c r="O22" s="52"/>
    </row>
    <row r="23" spans="2:30" ht="15.75" thickBot="1">
      <c r="B23" s="596" t="s">
        <v>212</v>
      </c>
      <c r="C23" s="593"/>
      <c r="D23" s="447">
        <f>SUM(D22)</f>
        <v>0</v>
      </c>
      <c r="E23" s="448">
        <f t="shared" ref="E23:G23" si="2">SUM(E22)</f>
        <v>0</v>
      </c>
      <c r="F23" s="614">
        <f t="shared" si="2"/>
        <v>0</v>
      </c>
      <c r="G23" s="615">
        <f t="shared" si="2"/>
        <v>0</v>
      </c>
      <c r="H23" s="447">
        <f>SUM(H22)</f>
        <v>0</v>
      </c>
      <c r="I23" s="621">
        <f>SUM(I22)</f>
        <v>0</v>
      </c>
      <c r="J23" s="59"/>
      <c r="K23" s="56"/>
      <c r="L23" s="59"/>
      <c r="M23" s="59"/>
      <c r="N23" s="55"/>
      <c r="O23" s="55"/>
    </row>
    <row r="24" spans="2:30">
      <c r="B24" s="594"/>
      <c r="C24" s="591"/>
      <c r="D24" s="152"/>
      <c r="E24" s="451"/>
      <c r="F24" s="452"/>
      <c r="G24" s="453"/>
      <c r="H24" s="152"/>
      <c r="I24" s="374"/>
      <c r="J24" s="58"/>
      <c r="K24" s="58"/>
      <c r="L24" s="58"/>
      <c r="M24" s="58"/>
      <c r="N24" s="58"/>
      <c r="O24" s="58"/>
    </row>
    <row r="25" spans="2:30" ht="15.75" thickBot="1">
      <c r="B25" s="596" t="s">
        <v>132</v>
      </c>
      <c r="C25" s="593"/>
      <c r="D25" s="447">
        <f t="shared" ref="D25:I25" si="3">SUM(D23,D19,D15)</f>
        <v>20513</v>
      </c>
      <c r="E25" s="448">
        <f t="shared" si="3"/>
        <v>86762</v>
      </c>
      <c r="F25" s="449">
        <f t="shared" si="3"/>
        <v>712.64523000000008</v>
      </c>
      <c r="G25" s="450">
        <f t="shared" si="3"/>
        <v>1078.9208099999998</v>
      </c>
      <c r="H25" s="447">
        <f t="shared" si="3"/>
        <v>4177.7866220999995</v>
      </c>
      <c r="I25" s="621">
        <f t="shared" si="3"/>
        <v>14171.766232899998</v>
      </c>
      <c r="J25" s="58"/>
      <c r="K25" s="58"/>
      <c r="L25" s="58"/>
      <c r="M25" s="58"/>
      <c r="N25" s="58"/>
      <c r="O25" s="58"/>
    </row>
    <row r="26" spans="2:30" ht="15.75" thickBot="1">
      <c r="B26" s="33" t="s">
        <v>213</v>
      </c>
      <c r="C26" s="34"/>
      <c r="D26" s="49"/>
      <c r="E26" s="88"/>
      <c r="F26" s="190">
        <v>0</v>
      </c>
      <c r="G26" s="260">
        <v>0</v>
      </c>
      <c r="H26" s="49"/>
      <c r="I26" s="50"/>
      <c r="J26" s="58"/>
      <c r="K26" s="58"/>
      <c r="L26" s="58"/>
      <c r="M26" s="58"/>
      <c r="N26" s="58"/>
      <c r="O26" s="58"/>
    </row>
    <row r="27" spans="2:30" ht="18">
      <c r="B27" s="625" t="s">
        <v>231</v>
      </c>
      <c r="J27" s="55"/>
      <c r="K27" s="56"/>
      <c r="L27" s="55"/>
      <c r="M27" s="55"/>
      <c r="N27" s="55"/>
      <c r="O27" s="55"/>
    </row>
    <row r="28" spans="2:30">
      <c r="J28" s="55"/>
      <c r="K28" s="56"/>
      <c r="L28" s="55"/>
      <c r="M28" s="55"/>
      <c r="N28" s="55"/>
      <c r="O28" s="55"/>
    </row>
    <row r="29" spans="2:30">
      <c r="B29" s="35"/>
      <c r="C29" s="23"/>
      <c r="D29" s="23"/>
      <c r="E29" s="23"/>
      <c r="F29" s="23"/>
      <c r="G29" s="23"/>
      <c r="H29" s="23"/>
      <c r="I29" s="23"/>
      <c r="J29" s="23"/>
      <c r="K29" s="24"/>
      <c r="L29" s="23"/>
      <c r="M29" s="23"/>
      <c r="N29" s="25"/>
      <c r="O29" s="25"/>
      <c r="P29" s="23"/>
      <c r="Q29" s="23"/>
      <c r="R29" s="23"/>
      <c r="S29" s="23"/>
      <c r="T29" s="23"/>
      <c r="U29" s="23"/>
      <c r="V29" s="23"/>
      <c r="W29" s="23"/>
      <c r="X29" s="23"/>
      <c r="Y29" s="23"/>
      <c r="Z29" s="23"/>
      <c r="AA29" s="23"/>
      <c r="AB29" s="23"/>
      <c r="AC29" s="23"/>
      <c r="AD29" s="23"/>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10" fitToHeight="0" orientation="landscape" r:id="rId1"/>
  <headerFooter>
    <oddHeader>&amp;CACE Q2 of Program Year 2022 LMI Reporting Table</oddHeader>
    <oddFooter>&amp;C&amp;N&amp;R&amp;D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4659260841701"/>
    <pageSetUpPr fitToPage="1"/>
  </sheetPr>
  <dimension ref="A1:AB21"/>
  <sheetViews>
    <sheetView zoomScale="70" zoomScaleNormal="70" zoomScaleSheetLayoutView="100" workbookViewId="0"/>
  </sheetViews>
  <sheetFormatPr defaultColWidth="9.28515625" defaultRowHeight="15"/>
  <cols>
    <col min="1" max="1" width="4.28515625" customWidth="1"/>
    <col min="2" max="2" width="22.140625" customWidth="1"/>
    <col min="3" max="3" width="35" customWidth="1"/>
    <col min="4" max="4" width="16.28515625" customWidth="1"/>
    <col min="5" max="5" width="15.5703125" customWidth="1"/>
    <col min="6" max="6" width="17.42578125" customWidth="1"/>
    <col min="7" max="7" width="17.28515625" customWidth="1"/>
    <col min="8" max="8" width="16.85546875" customWidth="1"/>
    <col min="9" max="9" width="17" customWidth="1"/>
    <col min="10" max="15" width="16.28515625" customWidth="1"/>
    <col min="20" max="20" width="9.28515625" customWidth="1"/>
    <col min="21" max="21" width="8.85546875" bestFit="1" customWidth="1"/>
    <col min="22" max="22" width="50.7109375" bestFit="1" customWidth="1"/>
    <col min="23" max="24" width="13.7109375" bestFit="1" customWidth="1"/>
    <col min="25" max="25" width="10.42578125" bestFit="1" customWidth="1"/>
    <col min="26" max="27" width="13.7109375" bestFit="1" customWidth="1"/>
    <col min="28" max="28" width="10.42578125" bestFit="1" customWidth="1"/>
  </cols>
  <sheetData>
    <row r="1" spans="1:28" ht="23.25">
      <c r="A1" s="15" t="s">
        <v>157</v>
      </c>
      <c r="J1" s="773"/>
      <c r="K1" s="773"/>
    </row>
    <row r="3" spans="1:28" ht="19.5" thickBot="1">
      <c r="A3" s="19"/>
      <c r="B3" s="19" t="s">
        <v>158</v>
      </c>
      <c r="C3" s="19"/>
      <c r="D3" s="19"/>
      <c r="E3" s="19"/>
      <c r="F3" s="19"/>
      <c r="G3" s="19"/>
      <c r="H3" s="19"/>
    </row>
    <row r="4" spans="1:28" ht="43.15" customHeight="1" thickBot="1">
      <c r="A4" t="s">
        <v>159</v>
      </c>
      <c r="B4" s="78"/>
      <c r="C4" s="43"/>
      <c r="D4" s="812" t="s">
        <v>160</v>
      </c>
      <c r="E4" s="789"/>
      <c r="F4" s="806" t="s">
        <v>219</v>
      </c>
      <c r="G4" s="807"/>
      <c r="H4" s="808" t="s">
        <v>162</v>
      </c>
      <c r="I4" s="809"/>
    </row>
    <row r="5" spans="1:28" ht="21" customHeight="1" thickBot="1">
      <c r="B5" s="95"/>
      <c r="C5" s="46"/>
      <c r="D5" s="79" t="s">
        <v>163</v>
      </c>
      <c r="E5" s="81" t="s">
        <v>164</v>
      </c>
      <c r="F5" s="89" t="s">
        <v>165</v>
      </c>
      <c r="G5" s="90" t="s">
        <v>220</v>
      </c>
      <c r="H5" s="80" t="s">
        <v>167</v>
      </c>
      <c r="I5" s="84" t="s">
        <v>168</v>
      </c>
      <c r="J5" s="546" t="s">
        <v>169</v>
      </c>
      <c r="K5" s="657" t="s">
        <v>232</v>
      </c>
      <c r="L5" s="546" t="s">
        <v>171</v>
      </c>
      <c r="M5" s="547" t="s">
        <v>172</v>
      </c>
      <c r="N5" s="546" t="s">
        <v>173</v>
      </c>
      <c r="O5" s="547" t="s">
        <v>233</v>
      </c>
    </row>
    <row r="6" spans="1:28" ht="52.5" customHeight="1" thickBot="1">
      <c r="B6" s="96"/>
      <c r="C6" s="45"/>
      <c r="D6" s="813" t="s">
        <v>144</v>
      </c>
      <c r="E6" s="814"/>
      <c r="F6" s="802" t="s">
        <v>221</v>
      </c>
      <c r="G6" s="803"/>
      <c r="H6" s="804" t="s">
        <v>187</v>
      </c>
      <c r="I6" s="805"/>
      <c r="J6" s="804" t="s">
        <v>234</v>
      </c>
      <c r="K6" s="805"/>
      <c r="L6" s="804" t="s">
        <v>235</v>
      </c>
      <c r="M6" s="805"/>
      <c r="N6" s="804" t="s">
        <v>236</v>
      </c>
      <c r="O6" s="805"/>
      <c r="T6" s="626" t="s">
        <v>237</v>
      </c>
      <c r="U6" s="626" t="s">
        <v>141</v>
      </c>
      <c r="V6" s="626" t="s">
        <v>238</v>
      </c>
      <c r="W6" s="627" t="s">
        <v>239</v>
      </c>
      <c r="X6" s="627" t="s">
        <v>240</v>
      </c>
      <c r="Y6" s="627" t="s">
        <v>241</v>
      </c>
      <c r="Z6" s="627" t="s">
        <v>239</v>
      </c>
      <c r="AA6" s="627" t="s">
        <v>240</v>
      </c>
      <c r="AB6" s="627" t="s">
        <v>241</v>
      </c>
    </row>
    <row r="7" spans="1:28" ht="30.75" thickBot="1">
      <c r="B7" s="73" t="s">
        <v>204</v>
      </c>
      <c r="C7" s="67" t="s">
        <v>143</v>
      </c>
      <c r="D7" s="93" t="s">
        <v>242</v>
      </c>
      <c r="E7" s="94" t="s">
        <v>243</v>
      </c>
      <c r="F7" s="93" t="s">
        <v>242</v>
      </c>
      <c r="G7" s="94" t="s">
        <v>243</v>
      </c>
      <c r="H7" s="93" t="s">
        <v>242</v>
      </c>
      <c r="I7" s="94" t="s">
        <v>243</v>
      </c>
      <c r="J7" s="548" t="s">
        <v>242</v>
      </c>
      <c r="K7" s="658" t="s">
        <v>243</v>
      </c>
      <c r="L7" s="548" t="s">
        <v>242</v>
      </c>
      <c r="M7" s="549" t="s">
        <v>243</v>
      </c>
      <c r="N7" s="654" t="s">
        <v>242</v>
      </c>
      <c r="O7" s="652" t="s">
        <v>243</v>
      </c>
      <c r="T7" s="628">
        <v>6</v>
      </c>
      <c r="U7" s="628" t="s">
        <v>244</v>
      </c>
      <c r="V7" s="628" t="s">
        <v>117</v>
      </c>
      <c r="W7" s="629">
        <v>0.115</v>
      </c>
      <c r="X7" s="629">
        <v>0.13400000000000001</v>
      </c>
      <c r="Y7" s="629">
        <v>1.4999999999999999E-2</v>
      </c>
      <c r="Z7" s="630">
        <f t="shared" ref="Z7:AB12" si="0">(W7+1)</f>
        <v>1.115</v>
      </c>
      <c r="AA7" s="630">
        <f t="shared" si="0"/>
        <v>1.1339999999999999</v>
      </c>
      <c r="AB7" s="630">
        <f t="shared" si="0"/>
        <v>1.0149999999999999</v>
      </c>
    </row>
    <row r="8" spans="1:28" ht="15.75" thickBot="1">
      <c r="B8" s="66" t="s">
        <v>111</v>
      </c>
      <c r="C8" s="66" t="s">
        <v>112</v>
      </c>
      <c r="D8" s="647">
        <v>0</v>
      </c>
      <c r="E8" s="648" t="s">
        <v>64</v>
      </c>
      <c r="F8" s="655">
        <v>0</v>
      </c>
      <c r="G8" s="656" t="s">
        <v>64</v>
      </c>
      <c r="H8" s="647">
        <v>0</v>
      </c>
      <c r="I8" s="648" t="s">
        <v>64</v>
      </c>
      <c r="J8" s="649">
        <v>0</v>
      </c>
      <c r="K8" s="659" t="s">
        <v>64</v>
      </c>
      <c r="L8" s="649">
        <v>0</v>
      </c>
      <c r="M8" s="650" t="s">
        <v>64</v>
      </c>
      <c r="N8" s="651">
        <f>L8*$Z$10</f>
        <v>0</v>
      </c>
      <c r="O8" s="653" t="s">
        <v>64</v>
      </c>
      <c r="T8" s="628">
        <v>7</v>
      </c>
      <c r="U8" s="628" t="s">
        <v>56</v>
      </c>
      <c r="V8" s="628" t="s">
        <v>245</v>
      </c>
      <c r="W8" s="629">
        <v>9.0999999999999998E-2</v>
      </c>
      <c r="X8" s="629">
        <v>0.113</v>
      </c>
      <c r="Y8" s="629">
        <v>1.4999999999999999E-2</v>
      </c>
      <c r="Z8" s="630">
        <f t="shared" si="0"/>
        <v>1.091</v>
      </c>
      <c r="AA8" s="630">
        <f t="shared" si="0"/>
        <v>1.113</v>
      </c>
      <c r="AB8" s="630">
        <f t="shared" si="0"/>
        <v>1.0149999999999999</v>
      </c>
    </row>
    <row r="9" spans="1:28">
      <c r="B9" s="815" t="s">
        <v>113</v>
      </c>
      <c r="C9" s="65" t="s">
        <v>114</v>
      </c>
      <c r="D9" s="215">
        <v>115</v>
      </c>
      <c r="E9" s="216">
        <v>35</v>
      </c>
      <c r="F9" s="269">
        <v>600.53</v>
      </c>
      <c r="G9" s="270">
        <v>927.32899999999995</v>
      </c>
      <c r="H9" s="722">
        <v>2621.0349999999999</v>
      </c>
      <c r="I9" s="723">
        <v>4537.9799999999996</v>
      </c>
      <c r="J9" s="703">
        <v>23417.161</v>
      </c>
      <c r="K9" s="704">
        <v>29709.078000000001</v>
      </c>
      <c r="L9" s="703">
        <v>39013.014000000003</v>
      </c>
      <c r="M9" s="705">
        <v>66348.073000000004</v>
      </c>
      <c r="N9" s="703">
        <f>J9*$Z$8</f>
        <v>25548.122650999998</v>
      </c>
      <c r="O9" s="706">
        <f>K9*$Z$8</f>
        <v>32412.604098</v>
      </c>
      <c r="T9" s="628">
        <v>8</v>
      </c>
      <c r="U9" s="628" t="s">
        <v>56</v>
      </c>
      <c r="V9" s="628" t="s">
        <v>246</v>
      </c>
      <c r="W9" s="629">
        <v>6.9000000000000006E-2</v>
      </c>
      <c r="X9" s="629">
        <v>8.6999999999999994E-2</v>
      </c>
      <c r="Y9" s="629">
        <v>1.4999999999999999E-2</v>
      </c>
      <c r="Z9" s="630">
        <f t="shared" si="0"/>
        <v>1.069</v>
      </c>
      <c r="AA9" s="630">
        <f t="shared" si="0"/>
        <v>1.087</v>
      </c>
      <c r="AB9" s="630">
        <f t="shared" si="0"/>
        <v>1.0149999999999999</v>
      </c>
    </row>
    <row r="10" spans="1:28">
      <c r="B10" s="816"/>
      <c r="C10" s="64" t="s">
        <v>115</v>
      </c>
      <c r="D10" s="218">
        <v>0</v>
      </c>
      <c r="E10" s="83">
        <v>0</v>
      </c>
      <c r="F10" s="258">
        <v>0</v>
      </c>
      <c r="G10" s="259">
        <v>0</v>
      </c>
      <c r="H10" s="213">
        <v>0</v>
      </c>
      <c r="I10" s="249">
        <v>0</v>
      </c>
      <c r="J10" s="550">
        <v>0</v>
      </c>
      <c r="K10" s="552">
        <v>0</v>
      </c>
      <c r="L10" s="550">
        <v>0</v>
      </c>
      <c r="M10" s="551">
        <v>0</v>
      </c>
      <c r="N10" s="550">
        <f>J10*$Z$11</f>
        <v>0</v>
      </c>
      <c r="O10" s="551">
        <f>K10*$Z$11</f>
        <v>0</v>
      </c>
      <c r="T10" s="628">
        <v>9</v>
      </c>
      <c r="U10" s="628" t="s">
        <v>56</v>
      </c>
      <c r="V10" s="628" t="s">
        <v>247</v>
      </c>
      <c r="W10" s="629">
        <v>9.9000000000000005E-2</v>
      </c>
      <c r="X10" s="629">
        <v>0.121</v>
      </c>
      <c r="Y10" s="629">
        <v>1.4999999999999999E-2</v>
      </c>
      <c r="Z10" s="630">
        <f t="shared" si="0"/>
        <v>1.099</v>
      </c>
      <c r="AA10" s="630">
        <f t="shared" si="0"/>
        <v>1.121</v>
      </c>
      <c r="AB10" s="630">
        <f t="shared" si="0"/>
        <v>1.0149999999999999</v>
      </c>
    </row>
    <row r="11" spans="1:28" ht="15.75" thickBot="1">
      <c r="B11" s="817"/>
      <c r="C11" s="631" t="s">
        <v>116</v>
      </c>
      <c r="D11" s="632">
        <v>0</v>
      </c>
      <c r="E11" s="581">
        <v>0</v>
      </c>
      <c r="F11" s="633">
        <v>0</v>
      </c>
      <c r="G11" s="634">
        <v>0</v>
      </c>
      <c r="H11" s="580">
        <v>0</v>
      </c>
      <c r="I11" s="635">
        <v>0</v>
      </c>
      <c r="J11" s="636">
        <v>0</v>
      </c>
      <c r="K11" s="638">
        <v>0</v>
      </c>
      <c r="L11" s="636">
        <v>0</v>
      </c>
      <c r="M11" s="637">
        <v>0</v>
      </c>
      <c r="N11" s="636">
        <f>J11*$Z$9</f>
        <v>0</v>
      </c>
      <c r="O11" s="637">
        <f>K11*$Z$9</f>
        <v>0</v>
      </c>
      <c r="T11" s="628">
        <v>10</v>
      </c>
      <c r="U11" s="628" t="s">
        <v>56</v>
      </c>
      <c r="V11" s="628" t="s">
        <v>248</v>
      </c>
      <c r="W11" s="629">
        <v>7.6999999999999999E-2</v>
      </c>
      <c r="X11" s="629">
        <v>9.1999999999999998E-2</v>
      </c>
      <c r="Y11" s="629">
        <v>1.4999999999999999E-2</v>
      </c>
      <c r="Z11" s="630">
        <f t="shared" si="0"/>
        <v>1.077</v>
      </c>
      <c r="AA11" s="630">
        <f t="shared" si="0"/>
        <v>1.0920000000000001</v>
      </c>
      <c r="AB11" s="630">
        <f t="shared" si="0"/>
        <v>1.0149999999999999</v>
      </c>
    </row>
    <row r="12" spans="1:28" s="23" customFormat="1" ht="15.75" thickBot="1">
      <c r="B12" s="639" t="s">
        <v>207</v>
      </c>
      <c r="C12" s="640"/>
      <c r="D12" s="641">
        <f>SUM(D8:D11)</f>
        <v>115</v>
      </c>
      <c r="E12" s="642">
        <f t="shared" ref="E12:I12" si="1">SUM(E8:E11)</f>
        <v>35</v>
      </c>
      <c r="F12" s="643">
        <f t="shared" si="1"/>
        <v>600.53</v>
      </c>
      <c r="G12" s="644">
        <f>SUM(G8:G11)</f>
        <v>927.32899999999995</v>
      </c>
      <c r="H12" s="645">
        <f t="shared" si="1"/>
        <v>2621.0349999999999</v>
      </c>
      <c r="I12" s="646">
        <f t="shared" si="1"/>
        <v>4537.9799999999996</v>
      </c>
      <c r="J12" s="707">
        <f t="shared" ref="J12:M12" si="2">SUM(J8:J11)</f>
        <v>23417.161</v>
      </c>
      <c r="K12" s="708">
        <f t="shared" si="2"/>
        <v>29709.078000000001</v>
      </c>
      <c r="L12" s="707">
        <f t="shared" si="2"/>
        <v>39013.014000000003</v>
      </c>
      <c r="M12" s="709">
        <f t="shared" si="2"/>
        <v>66348.073000000004</v>
      </c>
      <c r="N12" s="707">
        <f>SUM(N8:N11)</f>
        <v>25548.122650999998</v>
      </c>
      <c r="O12" s="709">
        <f>SUM(O8:O11)</f>
        <v>32412.604098</v>
      </c>
      <c r="P12"/>
      <c r="Q12"/>
      <c r="R12"/>
      <c r="S12"/>
      <c r="T12" s="628">
        <v>11</v>
      </c>
      <c r="U12" s="628" t="s">
        <v>249</v>
      </c>
      <c r="V12" s="628" t="s">
        <v>250</v>
      </c>
      <c r="W12" s="629">
        <v>0.115</v>
      </c>
      <c r="X12" s="629">
        <v>0.13400000000000001</v>
      </c>
      <c r="Y12" s="629">
        <v>1.4999999999999999E-2</v>
      </c>
      <c r="Z12" s="630">
        <f t="shared" si="0"/>
        <v>1.115</v>
      </c>
      <c r="AA12" s="630">
        <f t="shared" si="0"/>
        <v>1.1339999999999999</v>
      </c>
      <c r="AB12" s="630">
        <f t="shared" si="0"/>
        <v>1.0149999999999999</v>
      </c>
    </row>
    <row r="13" spans="1:28" ht="15.75" thickBot="1">
      <c r="B13" s="76"/>
      <c r="C13" s="87"/>
      <c r="D13" s="76"/>
      <c r="E13" s="77"/>
      <c r="F13" s="261"/>
      <c r="G13" s="262"/>
      <c r="H13" s="76"/>
      <c r="I13" s="77"/>
      <c r="J13" s="553"/>
      <c r="K13" s="660"/>
      <c r="L13" s="553"/>
      <c r="M13" s="554"/>
      <c r="N13" s="553"/>
      <c r="O13" s="554"/>
    </row>
    <row r="14" spans="1:28">
      <c r="B14" s="799" t="s">
        <v>117</v>
      </c>
      <c r="C14" s="92" t="s">
        <v>114</v>
      </c>
      <c r="D14" s="217">
        <v>0</v>
      </c>
      <c r="E14" s="216">
        <v>0</v>
      </c>
      <c r="F14" s="263">
        <v>0</v>
      </c>
      <c r="G14" s="264">
        <v>0</v>
      </c>
      <c r="H14" s="217">
        <v>0</v>
      </c>
      <c r="I14" s="216">
        <v>0</v>
      </c>
      <c r="J14" s="555">
        <v>0</v>
      </c>
      <c r="K14" s="557">
        <v>0</v>
      </c>
      <c r="L14" s="555">
        <v>0</v>
      </c>
      <c r="M14" s="556">
        <v>0</v>
      </c>
      <c r="N14" s="550">
        <f>J14*$Z$7</f>
        <v>0</v>
      </c>
      <c r="O14" s="551">
        <f>K14*$Z$7</f>
        <v>0</v>
      </c>
    </row>
    <row r="15" spans="1:28" ht="15.75" customHeight="1" thickBot="1">
      <c r="B15" s="800"/>
      <c r="C15" s="91" t="s">
        <v>116</v>
      </c>
      <c r="D15" s="580">
        <v>0</v>
      </c>
      <c r="E15" s="581">
        <v>0</v>
      </c>
      <c r="F15" s="633">
        <v>0</v>
      </c>
      <c r="G15" s="634">
        <v>0</v>
      </c>
      <c r="H15" s="580">
        <v>0</v>
      </c>
      <c r="I15" s="581">
        <v>0</v>
      </c>
      <c r="J15" s="661">
        <v>0</v>
      </c>
      <c r="K15" s="662">
        <v>0</v>
      </c>
      <c r="L15" s="661">
        <v>0</v>
      </c>
      <c r="M15" s="663">
        <v>0</v>
      </c>
      <c r="N15" s="636">
        <f>J15*$Z$7</f>
        <v>0</v>
      </c>
      <c r="O15" s="637">
        <f>K15*$Z$7</f>
        <v>0</v>
      </c>
    </row>
    <row r="16" spans="1:28" ht="15.75" thickBot="1">
      <c r="B16" s="639" t="s">
        <v>133</v>
      </c>
      <c r="C16" s="640"/>
      <c r="D16" s="639"/>
      <c r="E16" s="664"/>
      <c r="F16" s="665"/>
      <c r="G16" s="666"/>
      <c r="H16" s="639"/>
      <c r="I16" s="667"/>
      <c r="J16" s="668"/>
      <c r="K16" s="669"/>
      <c r="L16" s="668"/>
      <c r="M16" s="670"/>
      <c r="N16" s="668"/>
      <c r="O16" s="670"/>
    </row>
    <row r="17" spans="2:15" ht="15.75" thickBot="1">
      <c r="B17" s="99" t="s">
        <v>211</v>
      </c>
      <c r="C17" s="100"/>
      <c r="D17" s="219" t="s">
        <v>64</v>
      </c>
      <c r="E17" s="220" t="s">
        <v>64</v>
      </c>
      <c r="F17" s="265" t="s">
        <v>64</v>
      </c>
      <c r="G17" s="266" t="s">
        <v>64</v>
      </c>
      <c r="H17" s="219" t="s">
        <v>64</v>
      </c>
      <c r="I17" s="192" t="s">
        <v>64</v>
      </c>
      <c r="J17" s="710" t="s">
        <v>64</v>
      </c>
      <c r="K17" s="711" t="s">
        <v>64</v>
      </c>
      <c r="L17" s="710" t="s">
        <v>64</v>
      </c>
      <c r="M17" s="712" t="s">
        <v>64</v>
      </c>
      <c r="N17" s="710" t="s">
        <v>64</v>
      </c>
      <c r="O17" s="712" t="s">
        <v>64</v>
      </c>
    </row>
    <row r="18" spans="2:15" ht="15.75" thickBot="1">
      <c r="B18" s="33" t="s">
        <v>212</v>
      </c>
      <c r="C18" s="85"/>
      <c r="D18" s="223" t="s">
        <v>64</v>
      </c>
      <c r="E18" s="224" t="s">
        <v>64</v>
      </c>
      <c r="F18" s="190" t="s">
        <v>64</v>
      </c>
      <c r="G18" s="260" t="s">
        <v>64</v>
      </c>
      <c r="H18" s="223" t="s">
        <v>64</v>
      </c>
      <c r="I18" s="214" t="s">
        <v>64</v>
      </c>
      <c r="J18" s="713">
        <f>SUM(J17)</f>
        <v>0</v>
      </c>
      <c r="K18" s="714">
        <f t="shared" ref="K18:O18" si="3">SUM(K17)</f>
        <v>0</v>
      </c>
      <c r="L18" s="713">
        <f t="shared" si="3"/>
        <v>0</v>
      </c>
      <c r="M18" s="715">
        <f t="shared" si="3"/>
        <v>0</v>
      </c>
      <c r="N18" s="713">
        <f t="shared" si="3"/>
        <v>0</v>
      </c>
      <c r="O18" s="715">
        <f t="shared" si="3"/>
        <v>0</v>
      </c>
    </row>
    <row r="19" spans="2:15" ht="15.75" thickBot="1">
      <c r="B19" s="76"/>
      <c r="C19" s="87"/>
      <c r="D19" s="76"/>
      <c r="E19" s="77"/>
      <c r="F19" s="261"/>
      <c r="G19" s="262"/>
      <c r="H19" s="76"/>
      <c r="I19" s="77"/>
      <c r="J19" s="716"/>
      <c r="K19" s="717"/>
      <c r="L19" s="716"/>
      <c r="M19" s="718"/>
      <c r="N19" s="716"/>
      <c r="O19" s="718"/>
    </row>
    <row r="20" spans="2:15" ht="15.75" thickBot="1">
      <c r="B20" s="639" t="s">
        <v>213</v>
      </c>
      <c r="C20" s="671"/>
      <c r="D20" s="672"/>
      <c r="E20" s="673"/>
      <c r="F20" s="674">
        <v>0</v>
      </c>
      <c r="G20" s="675">
        <v>0</v>
      </c>
      <c r="H20" s="672"/>
      <c r="I20" s="673"/>
      <c r="J20" s="707">
        <f t="shared" ref="J20:O20" si="4">SUM(J18,J14:J15,J12)</f>
        <v>23417.161</v>
      </c>
      <c r="K20" s="708">
        <f t="shared" si="4"/>
        <v>29709.078000000001</v>
      </c>
      <c r="L20" s="707">
        <f t="shared" si="4"/>
        <v>39013.014000000003</v>
      </c>
      <c r="M20" s="709">
        <f t="shared" si="4"/>
        <v>66348.073000000004</v>
      </c>
      <c r="N20" s="707">
        <f t="shared" si="4"/>
        <v>25548.122650999998</v>
      </c>
      <c r="O20" s="709">
        <f t="shared" si="4"/>
        <v>32412.604098</v>
      </c>
    </row>
    <row r="21" spans="2:15" ht="15.75" thickBot="1">
      <c r="B21" s="454" t="s">
        <v>132</v>
      </c>
      <c r="C21" s="676"/>
      <c r="D21" s="221">
        <f t="shared" ref="D21:I21" si="5">SUM(D18,D14:D15,D12)</f>
        <v>115</v>
      </c>
      <c r="E21" s="222">
        <f t="shared" si="5"/>
        <v>35</v>
      </c>
      <c r="F21" s="267">
        <f t="shared" si="5"/>
        <v>600.53</v>
      </c>
      <c r="G21" s="268">
        <f t="shared" si="5"/>
        <v>927.32899999999995</v>
      </c>
      <c r="H21" s="545">
        <f t="shared" si="5"/>
        <v>2621.0349999999999</v>
      </c>
      <c r="I21" s="544">
        <f t="shared" si="5"/>
        <v>4537.9799999999996</v>
      </c>
      <c r="J21" s="719"/>
      <c r="K21" s="720"/>
      <c r="L21" s="719"/>
      <c r="M21" s="721"/>
      <c r="N21" s="719"/>
      <c r="O21" s="721"/>
    </row>
  </sheetData>
  <mergeCells count="11">
    <mergeCell ref="J6:K6"/>
    <mergeCell ref="L6:M6"/>
    <mergeCell ref="N6:O6"/>
    <mergeCell ref="B9:B11"/>
    <mergeCell ref="B14:B15"/>
    <mergeCell ref="D4:E4"/>
    <mergeCell ref="F4:G4"/>
    <mergeCell ref="H4:I4"/>
    <mergeCell ref="D6:E6"/>
    <mergeCell ref="F6:G6"/>
    <mergeCell ref="H6:I6"/>
  </mergeCells>
  <pageMargins left="0.25" right="0.25" top="0.75" bottom="0.75" header="0.3" footer="0.3"/>
  <pageSetup scale="10" fitToHeight="0" orientation="landscape" r:id="rId1"/>
  <headerFooter>
    <oddHeader>&amp;CACE Q2 of Program Year 2022 Small Business Reporting Table</oddHeader>
    <oddFooter>&amp;C&amp;N&amp;R&amp;D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Q18"/>
  <sheetViews>
    <sheetView zoomScaleSheetLayoutView="70" workbookViewId="0"/>
  </sheetViews>
  <sheetFormatPr defaultColWidth="9.140625" defaultRowHeight="15"/>
  <cols>
    <col min="1" max="1" width="4.42578125" customWidth="1"/>
    <col min="2" max="2" width="14.28515625" customWidth="1"/>
    <col min="3" max="3" width="16.140625" customWidth="1"/>
    <col min="4" max="4" width="18.85546875" customWidth="1"/>
    <col min="5" max="5" width="14.42578125" customWidth="1"/>
    <col min="6" max="6" width="17.7109375" customWidth="1"/>
    <col min="7" max="7" width="18.85546875" customWidth="1"/>
    <col min="8" max="10" width="18.5703125" customWidth="1"/>
    <col min="11" max="12" width="21" customWidth="1"/>
    <col min="13" max="14" width="20.7109375" customWidth="1"/>
    <col min="16" max="16" width="21.7109375" customWidth="1"/>
    <col min="17" max="17" width="16.5703125" customWidth="1"/>
  </cols>
  <sheetData>
    <row r="1" spans="1:17" ht="24.75">
      <c r="A1" s="489"/>
      <c r="B1" s="490"/>
      <c r="C1" s="491"/>
      <c r="D1" s="491"/>
      <c r="E1" s="490"/>
      <c r="F1" s="490"/>
      <c r="G1" s="490"/>
      <c r="H1" s="490"/>
      <c r="I1" s="490"/>
      <c r="J1" s="490"/>
      <c r="K1" s="490"/>
      <c r="L1" s="490"/>
      <c r="M1" s="490"/>
      <c r="N1" s="490"/>
      <c r="O1" s="492"/>
      <c r="P1" s="493"/>
    </row>
    <row r="2" spans="1:17" ht="18.75">
      <c r="A2" s="490"/>
      <c r="B2" s="494" t="s">
        <v>251</v>
      </c>
      <c r="C2" s="495"/>
      <c r="D2" s="495"/>
      <c r="E2" s="490"/>
      <c r="F2" s="490"/>
      <c r="G2" s="490"/>
      <c r="H2" s="490"/>
      <c r="I2" s="490"/>
      <c r="J2" s="490"/>
      <c r="K2" s="490"/>
      <c r="L2" s="490"/>
      <c r="M2" s="490"/>
      <c r="N2" s="490"/>
      <c r="O2" s="492"/>
      <c r="P2" s="493"/>
    </row>
    <row r="3" spans="1:17" ht="19.5" thickBot="1">
      <c r="A3" s="490"/>
      <c r="B3" s="494" t="s">
        <v>158</v>
      </c>
      <c r="C3" s="494"/>
      <c r="D3" s="491"/>
      <c r="E3" s="490"/>
      <c r="F3" s="490"/>
      <c r="G3" s="490"/>
      <c r="H3" s="490"/>
      <c r="I3" s="490"/>
      <c r="J3" s="490"/>
      <c r="K3" s="490"/>
      <c r="L3" s="490"/>
      <c r="M3" s="490"/>
      <c r="N3" s="490"/>
      <c r="O3" s="492"/>
      <c r="P3" s="493"/>
    </row>
    <row r="4" spans="1:17" ht="18.75" customHeight="1">
      <c r="A4" s="490"/>
      <c r="B4" s="818" t="s">
        <v>252</v>
      </c>
      <c r="C4" s="819"/>
      <c r="D4" s="819"/>
      <c r="E4" s="819"/>
      <c r="F4" s="819"/>
      <c r="G4" s="819"/>
      <c r="H4" s="819"/>
      <c r="I4" s="819"/>
      <c r="J4" s="819"/>
      <c r="K4" s="819"/>
      <c r="L4" s="819"/>
      <c r="M4" s="819"/>
      <c r="N4" s="820"/>
      <c r="O4" s="492"/>
      <c r="P4" s="493"/>
    </row>
    <row r="5" spans="1:17" ht="19.5" thickBot="1">
      <c r="A5" s="490"/>
      <c r="B5" s="821"/>
      <c r="C5" s="822"/>
      <c r="D5" s="822"/>
      <c r="E5" s="822"/>
      <c r="F5" s="822"/>
      <c r="G5" s="822"/>
      <c r="H5" s="822"/>
      <c r="I5" s="822"/>
      <c r="J5" s="822"/>
      <c r="K5" s="822"/>
      <c r="L5" s="822"/>
      <c r="M5" s="822"/>
      <c r="N5" s="823"/>
      <c r="O5" s="492"/>
      <c r="P5" s="493"/>
    </row>
    <row r="6" spans="1:17" ht="78.75">
      <c r="A6" s="496"/>
      <c r="B6" s="497" t="s">
        <v>253</v>
      </c>
      <c r="C6" s="498" t="s">
        <v>254</v>
      </c>
      <c r="D6" s="498" t="s">
        <v>255</v>
      </c>
      <c r="E6" s="498" t="s">
        <v>256</v>
      </c>
      <c r="F6" s="499" t="s">
        <v>257</v>
      </c>
      <c r="G6" s="498" t="s">
        <v>258</v>
      </c>
      <c r="H6" s="500" t="s">
        <v>259</v>
      </c>
      <c r="I6" s="501" t="s">
        <v>260</v>
      </c>
      <c r="J6" s="501" t="s">
        <v>261</v>
      </c>
      <c r="K6" s="501" t="s">
        <v>262</v>
      </c>
      <c r="L6" s="501" t="s">
        <v>263</v>
      </c>
      <c r="M6" s="502" t="s">
        <v>264</v>
      </c>
      <c r="N6" s="503" t="s">
        <v>265</v>
      </c>
      <c r="O6" s="492"/>
      <c r="P6" s="504"/>
    </row>
    <row r="7" spans="1:17" ht="30.75" customHeight="1">
      <c r="A7" s="496"/>
      <c r="B7" s="505"/>
      <c r="C7" s="506"/>
      <c r="D7" s="506"/>
      <c r="E7" s="507" t="s">
        <v>7</v>
      </c>
      <c r="F7" s="507" t="s">
        <v>8</v>
      </c>
      <c r="G7" s="507" t="s">
        <v>266</v>
      </c>
      <c r="H7" s="508" t="s">
        <v>267</v>
      </c>
      <c r="I7" s="508" t="s">
        <v>11</v>
      </c>
      <c r="J7" s="508" t="s">
        <v>268</v>
      </c>
      <c r="K7" s="508" t="s">
        <v>269</v>
      </c>
      <c r="L7" s="508" t="s">
        <v>270</v>
      </c>
      <c r="M7" s="508" t="s">
        <v>271</v>
      </c>
      <c r="N7" s="509" t="s">
        <v>272</v>
      </c>
      <c r="O7" s="492"/>
      <c r="P7" s="504"/>
    </row>
    <row r="8" spans="1:17" ht="18.75">
      <c r="A8" s="496"/>
      <c r="B8" s="510"/>
      <c r="C8" s="511"/>
      <c r="D8" s="511"/>
      <c r="E8" s="511"/>
      <c r="F8" s="511"/>
      <c r="G8" s="511"/>
      <c r="H8" s="511"/>
      <c r="I8" s="511"/>
      <c r="J8" s="511"/>
      <c r="K8" s="511"/>
      <c r="L8" s="511"/>
      <c r="M8" s="700"/>
      <c r="N8" s="512"/>
      <c r="O8" s="492"/>
      <c r="P8" s="477"/>
    </row>
    <row r="9" spans="1:17" ht="18.75">
      <c r="A9" s="490"/>
      <c r="B9" s="513" t="s">
        <v>153</v>
      </c>
      <c r="C9" s="514">
        <v>2020</v>
      </c>
      <c r="D9" s="514" t="s">
        <v>273</v>
      </c>
      <c r="E9" s="515">
        <v>9434778.5099999998</v>
      </c>
      <c r="F9" s="515">
        <v>0</v>
      </c>
      <c r="G9" s="515">
        <f>E9-F9</f>
        <v>9434778.5099999998</v>
      </c>
      <c r="H9" s="515"/>
      <c r="I9" s="515"/>
      <c r="J9" s="515"/>
      <c r="K9" s="515"/>
      <c r="L9" s="515"/>
      <c r="M9" s="516"/>
      <c r="N9" s="517"/>
      <c r="O9" s="492"/>
      <c r="P9" s="518"/>
      <c r="Q9" s="477"/>
    </row>
    <row r="10" spans="1:17" ht="18.75">
      <c r="A10" s="490"/>
      <c r="B10" s="519"/>
      <c r="C10" s="514">
        <v>2021</v>
      </c>
      <c r="D10" s="514" t="s">
        <v>274</v>
      </c>
      <c r="E10" s="515">
        <v>9725504.6995833125</v>
      </c>
      <c r="F10" s="515">
        <v>0</v>
      </c>
      <c r="G10" s="515">
        <f>E10-F10</f>
        <v>9725504.6995833125</v>
      </c>
      <c r="H10" s="515"/>
      <c r="I10" s="515"/>
      <c r="J10" s="515"/>
      <c r="K10" s="515"/>
      <c r="L10" s="515"/>
      <c r="M10" s="516"/>
      <c r="N10" s="517"/>
      <c r="O10" s="492"/>
      <c r="P10" s="518"/>
    </row>
    <row r="11" spans="1:17" ht="18.75">
      <c r="A11" s="490"/>
      <c r="B11" s="513"/>
      <c r="C11" s="514">
        <v>2022</v>
      </c>
      <c r="D11" s="514" t="s">
        <v>275</v>
      </c>
      <c r="E11" s="515">
        <v>10200284</v>
      </c>
      <c r="F11" s="515">
        <v>0</v>
      </c>
      <c r="G11" s="515">
        <f>E11-F11</f>
        <v>10200284</v>
      </c>
      <c r="H11" s="515"/>
      <c r="I11" s="515"/>
      <c r="J11" s="515"/>
      <c r="K11" s="515"/>
      <c r="L11" s="515"/>
      <c r="M11" s="516"/>
      <c r="N11" s="517"/>
      <c r="O11" s="492"/>
      <c r="P11" s="493"/>
    </row>
    <row r="12" spans="1:17" ht="19.5" thickBot="1">
      <c r="A12" s="493"/>
      <c r="B12" s="520"/>
      <c r="C12" s="521" t="s">
        <v>280</v>
      </c>
      <c r="D12" s="521" t="s">
        <v>281</v>
      </c>
      <c r="E12" s="522"/>
      <c r="F12" s="522">
        <v>0</v>
      </c>
      <c r="G12" s="522">
        <f>E12-F12</f>
        <v>0</v>
      </c>
      <c r="H12" s="522">
        <f>AVERAGE(G9:G11)</f>
        <v>9786855.7365277708</v>
      </c>
      <c r="I12" s="523">
        <v>1.0999999999999999E-2</v>
      </c>
      <c r="J12" s="522">
        <f>I12*H12</f>
        <v>107655.41310180548</v>
      </c>
      <c r="K12" s="523">
        <v>3.5999999999999999E-3</v>
      </c>
      <c r="L12" s="522">
        <f>K12*H12</f>
        <v>35232.680651499977</v>
      </c>
      <c r="M12" s="524">
        <v>7.4000000000000003E-3</v>
      </c>
      <c r="N12" s="543">
        <f>M12*H12</f>
        <v>72422.732450305513</v>
      </c>
      <c r="O12" s="492"/>
      <c r="P12" s="493"/>
    </row>
    <row r="13" spans="1:17" ht="18.75">
      <c r="A13" s="490"/>
      <c r="B13" s="525"/>
      <c r="C13" s="526"/>
      <c r="D13" s="526"/>
      <c r="E13" s="527"/>
      <c r="F13" s="528"/>
      <c r="G13" s="528"/>
      <c r="H13" s="529"/>
      <c r="I13" s="529"/>
      <c r="J13" s="529"/>
      <c r="K13" s="529"/>
      <c r="L13" s="529"/>
      <c r="M13" s="528"/>
      <c r="N13" s="530"/>
      <c r="O13" s="492"/>
      <c r="P13" s="493"/>
    </row>
    <row r="14" spans="1:17" ht="18.75">
      <c r="A14" s="490"/>
      <c r="B14" s="531" t="s">
        <v>276</v>
      </c>
      <c r="C14" s="532"/>
      <c r="D14" s="532"/>
      <c r="E14" s="533"/>
      <c r="F14" s="533"/>
      <c r="G14" s="533"/>
      <c r="H14" s="533"/>
      <c r="I14" s="533"/>
      <c r="J14" s="533"/>
      <c r="K14" s="533"/>
      <c r="L14" s="533"/>
      <c r="M14" s="533"/>
      <c r="N14" s="533"/>
      <c r="O14" s="492"/>
      <c r="P14" s="493"/>
    </row>
    <row r="15" spans="1:17" ht="18.75">
      <c r="A15" s="490"/>
      <c r="B15" s="534" t="s">
        <v>277</v>
      </c>
      <c r="C15" s="532"/>
      <c r="D15" s="532"/>
      <c r="E15" s="533"/>
      <c r="F15" s="533"/>
      <c r="G15" s="533"/>
      <c r="H15" s="533"/>
      <c r="I15" s="533"/>
      <c r="J15" s="533"/>
      <c r="K15" s="533"/>
      <c r="L15" s="533"/>
      <c r="M15" s="533"/>
      <c r="N15" s="533"/>
      <c r="O15" s="492"/>
      <c r="P15" s="493"/>
    </row>
    <row r="16" spans="1:17" ht="18.75">
      <c r="A16" s="490"/>
      <c r="B16" s="534" t="s">
        <v>278</v>
      </c>
      <c r="C16" s="532"/>
      <c r="D16" s="532"/>
      <c r="E16" s="533"/>
      <c r="F16" s="533"/>
      <c r="G16" s="533"/>
      <c r="H16" s="533"/>
      <c r="I16" s="533"/>
      <c r="J16" s="533"/>
      <c r="K16" s="533"/>
      <c r="L16" s="533"/>
      <c r="M16" s="533"/>
      <c r="N16" s="533"/>
      <c r="O16" s="492"/>
      <c r="P16" s="493"/>
    </row>
    <row r="17" spans="1:15" ht="18.75">
      <c r="A17" s="490"/>
      <c r="B17" s="534" t="s">
        <v>279</v>
      </c>
      <c r="C17" s="532"/>
      <c r="D17" s="532"/>
      <c r="E17" s="533"/>
      <c r="F17" s="533"/>
      <c r="G17" s="533"/>
      <c r="H17" s="533"/>
      <c r="I17" s="533"/>
      <c r="J17" s="533"/>
      <c r="K17" s="533"/>
      <c r="L17" s="533"/>
      <c r="M17" s="533"/>
      <c r="N17" s="533"/>
      <c r="O17" s="492"/>
    </row>
    <row r="18" spans="1:15" ht="18.75">
      <c r="A18" s="490"/>
      <c r="B18" s="533"/>
      <c r="C18" s="532"/>
      <c r="D18" s="532"/>
      <c r="E18" s="533"/>
      <c r="F18" s="533"/>
      <c r="G18" s="533"/>
      <c r="H18" s="533"/>
      <c r="I18" s="533"/>
      <c r="J18" s="533"/>
      <c r="K18" s="533"/>
      <c r="L18" s="533"/>
      <c r="M18" s="533"/>
      <c r="N18" s="533"/>
      <c r="O18" s="492"/>
    </row>
  </sheetData>
  <mergeCells count="1">
    <mergeCell ref="B4:N5"/>
  </mergeCells>
  <pageMargins left="0.6" right="0.21" top="0.77" bottom="0.74" header="0.5" footer="0.5"/>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e1ce33e2-3f81-4877-9d56-6623efcc7adc">
      <Terms xmlns="http://schemas.microsoft.com/office/infopath/2007/PartnerControls"/>
    </lcf76f155ced4ddcb4097134ff3c332f>
    <SharedWithUsers xmlns="51c1dd67-44fb-4f36-953c-829e49f11df9">
      <UserInfo>
        <DisplayName>Zerbe, Christopher</DisplayName>
        <AccountId>163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6C8FC46E59EF4695C6B777F907D47D" ma:contentTypeVersion="10" ma:contentTypeDescription="Create a new document." ma:contentTypeScope="" ma:versionID="2b39cfd080eb1bc93404bc177621dce0">
  <xsd:schema xmlns:xsd="http://www.w3.org/2001/XMLSchema" xmlns:xs="http://www.w3.org/2001/XMLSchema" xmlns:p="http://schemas.microsoft.com/office/2006/metadata/properties" xmlns:ns2="e1ce33e2-3f81-4877-9d56-6623efcc7adc" xmlns:ns3="fa6a9aea-fb0f-4ddd-aff8-712634b7d5fe" xmlns:ns4="51c1dd67-44fb-4f36-953c-829e49f11df9" targetNamespace="http://schemas.microsoft.com/office/2006/metadata/properties" ma:root="true" ma:fieldsID="449b05f21e37e7dadea651648ba4359a" ns2:_="" ns3:_="" ns4:_="">
    <xsd:import namespace="e1ce33e2-3f81-4877-9d56-6623efcc7adc"/>
    <xsd:import namespace="fa6a9aea-fb0f-4ddd-aff8-712634b7d5fe"/>
    <xsd:import namespace="51c1dd67-44fb-4f36-953c-829e49f11df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e33e2-3f81-4877-9d56-6623efcc7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cfb9e04-5428-45cc-b622-52e1390a8f9c}" ma:internalName="TaxCatchAll" ma:showField="CatchAllData" ma:web="51c1dd67-44fb-4f36-953c-829e49f11d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1dd67-44fb-4f36-953c-829e49f11df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purl.org/dc/terms/"/>
    <ds:schemaRef ds:uri="http://schemas.microsoft.com/office/2006/metadata/properties"/>
    <ds:schemaRef ds:uri="e1ce33e2-3f81-4877-9d56-6623efcc7adc"/>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51c1dd67-44fb-4f36-953c-829e49f11df9"/>
    <ds:schemaRef ds:uri="fa6a9aea-fb0f-4ddd-aff8-712634b7d5fe"/>
  </ds:schemaRefs>
</ds:datastoreItem>
</file>

<file path=customXml/itemProps2.xml><?xml version="1.0" encoding="utf-8"?>
<ds:datastoreItem xmlns:ds="http://schemas.openxmlformats.org/officeDocument/2006/customXml" ds:itemID="{428F0EEA-102C-4CEE-9AFF-1A4080103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ce33e2-3f81-4877-9d56-6623efcc7adc"/>
    <ds:schemaRef ds:uri="fa6a9aea-fb0f-4ddd-aff8-712634b7d5fe"/>
    <ds:schemaRef ds:uri="51c1dd67-44fb-4f36-953c-829e49f11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1</vt:lpstr>
      <vt:lpstr>Tables 2-6</vt:lpstr>
      <vt:lpstr>Table 7</vt:lpstr>
      <vt:lpstr>Ap A - Participant Def</vt:lpstr>
      <vt:lpstr>ACE</vt:lpstr>
      <vt:lpstr>Ap B - Qtr Electric Master</vt:lpstr>
      <vt:lpstr> Ap C - Qtr Electric LMI</vt:lpstr>
      <vt:lpstr> Ap D - Qtr Electric Business</vt:lpstr>
      <vt:lpstr>Ap E - NJ CEA Benchmarks</vt:lpstr>
      <vt:lpstr>' Ap C - Qtr Electric LMI'!Print_Area</vt:lpstr>
      <vt:lpstr>' Ap D - Qtr Electric Business'!Print_Area</vt:lpstr>
      <vt:lpstr>'Ap B - Qtr Electric Master'!Print_Area</vt:lpstr>
      <vt:lpstr>'Ap E - NJ CEA Benchmarks'!Print_Area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 Karriemah</dc:creator>
  <cp:keywords/>
  <dc:description/>
  <cp:lastModifiedBy>Graham, Karriemah</cp:lastModifiedBy>
  <dcterms:created xsi:type="dcterms:W3CDTF">2023-02-28T16:12:35Z</dcterms:created>
  <dcterms:modified xsi:type="dcterms:W3CDTF">2023-02-28T16:12:35Z</dcterms:modified>
  <cp:category/>
  <cp:contentStatus/>
</cp:coreProperties>
</file>